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izio\Desktop\"/>
    </mc:Choice>
  </mc:AlternateContent>
  <bookViews>
    <workbookView xWindow="0" yWindow="0" windowWidth="22410" windowHeight="13635"/>
  </bookViews>
  <sheets>
    <sheet name="IT" sheetId="2" r:id="rId1"/>
    <sheet name="EN" sheetId="3" r:id="rId2"/>
    <sheet name="FR" sheetId="4" r:id="rId3"/>
    <sheet name="DE" sheetId="5" r:id="rId4"/>
  </sheets>
  <definedNames>
    <definedName name="_xlnm.Print_Area" localSheetId="3">DE!$A$1:$M$51</definedName>
    <definedName name="_xlnm.Print_Area" localSheetId="1">EN!$A$1:$M$51</definedName>
    <definedName name="_xlnm.Print_Area" localSheetId="2">FR!$A$1:$M$51</definedName>
    <definedName name="_xlnm.Print_Area" localSheetId="0">IT!$A$1:$M$51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5" l="1"/>
  <c r="Q40" i="5"/>
  <c r="O40" i="5"/>
  <c r="Q39" i="5"/>
  <c r="O39" i="5"/>
  <c r="Q38" i="5"/>
  <c r="O38" i="5"/>
  <c r="W29" i="5"/>
  <c r="O29" i="5"/>
  <c r="Q29" i="5" s="1"/>
  <c r="W28" i="5"/>
  <c r="O28" i="5"/>
  <c r="Q28" i="5" s="1"/>
  <c r="W27" i="5"/>
  <c r="O27" i="5"/>
  <c r="Q27" i="5" s="1"/>
  <c r="X19" i="5"/>
  <c r="W19" i="5"/>
  <c r="V19" i="5"/>
  <c r="O19" i="5"/>
  <c r="X18" i="5"/>
  <c r="W18" i="5"/>
  <c r="V18" i="5"/>
  <c r="O18" i="5"/>
  <c r="X17" i="5"/>
  <c r="W17" i="5"/>
  <c r="V17" i="5"/>
  <c r="O17" i="5"/>
  <c r="X16" i="5"/>
  <c r="W16" i="5"/>
  <c r="V16" i="5"/>
  <c r="O16" i="5"/>
  <c r="X15" i="5"/>
  <c r="W15" i="5"/>
  <c r="V15" i="5"/>
  <c r="O15" i="5"/>
  <c r="X14" i="5"/>
  <c r="W14" i="5"/>
  <c r="V14" i="5"/>
  <c r="O14" i="5"/>
  <c r="X13" i="5"/>
  <c r="W13" i="5"/>
  <c r="V13" i="5"/>
  <c r="O13" i="5"/>
  <c r="X12" i="5"/>
  <c r="W12" i="5"/>
  <c r="V12" i="5"/>
  <c r="O12" i="5"/>
  <c r="X11" i="5"/>
  <c r="W11" i="5"/>
  <c r="V11" i="5"/>
  <c r="O11" i="5"/>
  <c r="X10" i="5"/>
  <c r="W10" i="5"/>
  <c r="V10" i="5"/>
  <c r="O10" i="5"/>
  <c r="Q33" i="5" s="1"/>
  <c r="S33" i="5" s="1"/>
  <c r="P41" i="4"/>
  <c r="Q40" i="4"/>
  <c r="O40" i="4"/>
  <c r="Q39" i="4"/>
  <c r="O39" i="4"/>
  <c r="Q38" i="4"/>
  <c r="O38" i="4"/>
  <c r="W29" i="4"/>
  <c r="O29" i="4"/>
  <c r="Q29" i="4" s="1"/>
  <c r="W28" i="4"/>
  <c r="O28" i="4"/>
  <c r="Q28" i="4" s="1"/>
  <c r="W27" i="4"/>
  <c r="P27" i="4"/>
  <c r="O27" i="4"/>
  <c r="X19" i="4"/>
  <c r="W19" i="4"/>
  <c r="V19" i="4"/>
  <c r="O19" i="4"/>
  <c r="X18" i="4"/>
  <c r="W18" i="4"/>
  <c r="V18" i="4"/>
  <c r="O18" i="4"/>
  <c r="X17" i="4"/>
  <c r="W17" i="4"/>
  <c r="V17" i="4"/>
  <c r="O17" i="4"/>
  <c r="X16" i="4"/>
  <c r="W16" i="4"/>
  <c r="V16" i="4"/>
  <c r="O16" i="4"/>
  <c r="X15" i="4"/>
  <c r="W15" i="4"/>
  <c r="V15" i="4"/>
  <c r="O15" i="4"/>
  <c r="X14" i="4"/>
  <c r="W14" i="4"/>
  <c r="V14" i="4"/>
  <c r="O14" i="4"/>
  <c r="X13" i="4"/>
  <c r="W13" i="4"/>
  <c r="V13" i="4"/>
  <c r="O13" i="4"/>
  <c r="X12" i="4"/>
  <c r="W12" i="4"/>
  <c r="V12" i="4"/>
  <c r="O12" i="4"/>
  <c r="X11" i="4"/>
  <c r="W11" i="4"/>
  <c r="V11" i="4"/>
  <c r="O11" i="4"/>
  <c r="X10" i="4"/>
  <c r="W10" i="4"/>
  <c r="V10" i="4"/>
  <c r="O10" i="4"/>
  <c r="Q33" i="4" s="1"/>
  <c r="S33" i="4" s="1"/>
  <c r="O41" i="4" l="1"/>
  <c r="P29" i="4"/>
  <c r="O30" i="4"/>
  <c r="P28" i="4"/>
  <c r="P30" i="4" s="1"/>
  <c r="O41" i="5"/>
  <c r="Q30" i="5"/>
  <c r="O30" i="5"/>
  <c r="P27" i="5"/>
  <c r="P28" i="5"/>
  <c r="P29" i="5"/>
  <c r="Q27" i="4"/>
  <c r="Q30" i="4" s="1"/>
  <c r="P41" i="3"/>
  <c r="Q40" i="3"/>
  <c r="O40" i="3"/>
  <c r="Q39" i="3"/>
  <c r="O39" i="3"/>
  <c r="Q38" i="3"/>
  <c r="O38" i="3"/>
  <c r="W29" i="3"/>
  <c r="O29" i="3"/>
  <c r="P29" i="3" s="1"/>
  <c r="W28" i="3"/>
  <c r="O28" i="3"/>
  <c r="P28" i="3" s="1"/>
  <c r="W27" i="3"/>
  <c r="Q27" i="3"/>
  <c r="P27" i="3"/>
  <c r="O27" i="3"/>
  <c r="X19" i="3"/>
  <c r="W19" i="3"/>
  <c r="V19" i="3"/>
  <c r="O19" i="3"/>
  <c r="X18" i="3"/>
  <c r="W18" i="3"/>
  <c r="V18" i="3"/>
  <c r="O18" i="3"/>
  <c r="X17" i="3"/>
  <c r="W17" i="3"/>
  <c r="V17" i="3"/>
  <c r="O17" i="3"/>
  <c r="X16" i="3"/>
  <c r="W16" i="3"/>
  <c r="V16" i="3"/>
  <c r="O16" i="3"/>
  <c r="X15" i="3"/>
  <c r="W15" i="3"/>
  <c r="V15" i="3"/>
  <c r="O15" i="3"/>
  <c r="X14" i="3"/>
  <c r="W14" i="3"/>
  <c r="V14" i="3"/>
  <c r="O14" i="3"/>
  <c r="X13" i="3"/>
  <c r="W13" i="3"/>
  <c r="V13" i="3"/>
  <c r="O13" i="3"/>
  <c r="X12" i="3"/>
  <c r="W12" i="3"/>
  <c r="V12" i="3"/>
  <c r="O12" i="3"/>
  <c r="X11" i="3"/>
  <c r="W11" i="3"/>
  <c r="V11" i="3"/>
  <c r="O11" i="3"/>
  <c r="X10" i="3"/>
  <c r="W10" i="3"/>
  <c r="V10" i="3"/>
  <c r="O10" i="3"/>
  <c r="Q33" i="3" s="1"/>
  <c r="S33" i="3" s="1"/>
  <c r="O41" i="3" l="1"/>
  <c r="Q28" i="3"/>
  <c r="Q30" i="3" s="1"/>
  <c r="Q29" i="3"/>
  <c r="O30" i="3"/>
  <c r="P30" i="3"/>
  <c r="P30" i="5"/>
  <c r="B43" i="5"/>
  <c r="I38" i="5"/>
  <c r="B36" i="5"/>
  <c r="J43" i="5"/>
  <c r="I43" i="5"/>
  <c r="J38" i="5"/>
  <c r="E25" i="5"/>
  <c r="I38" i="4"/>
  <c r="B43" i="4"/>
  <c r="B36" i="4"/>
  <c r="J43" i="4"/>
  <c r="I43" i="4"/>
  <c r="J38" i="4"/>
  <c r="E25" i="4"/>
  <c r="I25" i="4"/>
  <c r="N25" i="4" s="1"/>
  <c r="B36" i="3"/>
  <c r="I25" i="5" l="1"/>
  <c r="N25" i="5" s="1"/>
  <c r="I33" i="4"/>
  <c r="I32" i="4" l="1"/>
  <c r="I34" i="4" s="1"/>
  <c r="I33" i="5"/>
  <c r="I32" i="5"/>
  <c r="I34" i="5" l="1"/>
  <c r="I38" i="3"/>
  <c r="B43" i="3"/>
  <c r="J43" i="3"/>
  <c r="J38" i="3"/>
  <c r="E25" i="3"/>
  <c r="I25" i="3" l="1"/>
  <c r="N25" i="3" s="1"/>
  <c r="I43" i="3"/>
  <c r="I32" i="3" l="1"/>
  <c r="I33" i="3"/>
  <c r="I34" i="3" l="1"/>
  <c r="O28" i="2"/>
  <c r="P28" i="2" s="1"/>
  <c r="W28" i="2"/>
  <c r="O29" i="2"/>
  <c r="P29" i="2" s="1"/>
  <c r="W29" i="2"/>
  <c r="O39" i="2"/>
  <c r="Q39" i="2"/>
  <c r="O40" i="2"/>
  <c r="Q40" i="2"/>
  <c r="P41" i="2"/>
  <c r="Q29" i="2" l="1"/>
  <c r="Q28" i="2"/>
  <c r="E25" i="2"/>
  <c r="O18" i="2"/>
  <c r="V18" i="2"/>
  <c r="W18" i="2"/>
  <c r="X18" i="2"/>
  <c r="O19" i="2"/>
  <c r="V19" i="2"/>
  <c r="W19" i="2"/>
  <c r="X19" i="2"/>
  <c r="O13" i="2"/>
  <c r="V10" i="2"/>
  <c r="I43" i="2" l="1"/>
  <c r="I38" i="2"/>
  <c r="B43" i="2"/>
  <c r="B36" i="2"/>
  <c r="J43" i="2"/>
  <c r="Q38" i="2"/>
  <c r="O38" i="2"/>
  <c r="O41" i="2" s="1"/>
  <c r="J38" i="2"/>
  <c r="W27" i="2"/>
  <c r="O27" i="2"/>
  <c r="X17" i="2"/>
  <c r="W17" i="2"/>
  <c r="V17" i="2"/>
  <c r="O17" i="2"/>
  <c r="X16" i="2"/>
  <c r="W16" i="2"/>
  <c r="V16" i="2"/>
  <c r="O16" i="2"/>
  <c r="X15" i="2"/>
  <c r="W15" i="2"/>
  <c r="V15" i="2"/>
  <c r="O15" i="2"/>
  <c r="X14" i="2"/>
  <c r="W14" i="2"/>
  <c r="V14" i="2"/>
  <c r="O14" i="2"/>
  <c r="X13" i="2"/>
  <c r="W13" i="2"/>
  <c r="V13" i="2"/>
  <c r="X12" i="2"/>
  <c r="W12" i="2"/>
  <c r="V12" i="2"/>
  <c r="O12" i="2"/>
  <c r="X11" i="2"/>
  <c r="W11" i="2"/>
  <c r="V11" i="2"/>
  <c r="O11" i="2"/>
  <c r="X10" i="2"/>
  <c r="W10" i="2"/>
  <c r="O10" i="2"/>
  <c r="Q27" i="2" l="1"/>
  <c r="Q30" i="2" s="1"/>
  <c r="O30" i="2"/>
  <c r="I25" i="2"/>
  <c r="N25" i="2" s="1"/>
  <c r="Q33" i="2"/>
  <c r="S33" i="2" s="1"/>
  <c r="P27" i="2"/>
  <c r="P30" i="2" s="1"/>
  <c r="I33" i="2" l="1"/>
  <c r="I32" i="2"/>
  <c r="I34" i="2" l="1"/>
</calcChain>
</file>

<file path=xl/sharedStrings.xml><?xml version="1.0" encoding="utf-8"?>
<sst xmlns="http://schemas.openxmlformats.org/spreadsheetml/2006/main" count="324" uniqueCount="84">
  <si>
    <t>kW</t>
  </si>
  <si>
    <t>K</t>
  </si>
  <si>
    <t>L/h</t>
  </si>
  <si>
    <t>m</t>
  </si>
  <si>
    <t>Prevalenza Parte 1</t>
  </si>
  <si>
    <t>Prevalenza Parte 2</t>
  </si>
  <si>
    <t>Limite</t>
  </si>
  <si>
    <t>Parte della curva</t>
  </si>
  <si>
    <t>Curva n.</t>
  </si>
  <si>
    <t>Curva 2</t>
  </si>
  <si>
    <t>Rapporto Δy/Δx</t>
  </si>
  <si>
    <t>Scostamento y</t>
  </si>
  <si>
    <t>Kvs:</t>
  </si>
  <si>
    <t>Curva modulo:</t>
  </si>
  <si>
    <t>W/m2</t>
  </si>
  <si>
    <t>kW )</t>
  </si>
  <si>
    <t>4 K</t>
  </si>
  <si>
    <t>8K</t>
  </si>
  <si>
    <t>12 K</t>
  </si>
  <si>
    <t>A</t>
  </si>
  <si>
    <t>D</t>
  </si>
  <si>
    <t>G</t>
  </si>
  <si>
    <t>RS 7,5</t>
  </si>
  <si>
    <t>UPM3</t>
  </si>
  <si>
    <t>RS 6</t>
  </si>
  <si>
    <t>Portata per prevalenza residua voluta</t>
  </si>
  <si>
    <t>ricavata per tentativi</t>
  </si>
  <si>
    <t>Potenza corrispondente alla prevalenza residua voluta</t>
  </si>
  <si>
    <t>ricavata considerando il Δt impostato</t>
  </si>
  <si>
    <t>Prevalenza</t>
  </si>
  <si>
    <t>voluta [m]</t>
  </si>
  <si>
    <t>minima residua</t>
  </si>
  <si>
    <t>Note:</t>
  </si>
  <si>
    <r>
      <t xml:space="preserve">Salto termico Δt </t>
    </r>
    <r>
      <rPr>
        <sz val="10"/>
        <color theme="1"/>
        <rFont val="Arial Narrow"/>
        <family val="2"/>
      </rPr>
      <t>(calcolo sottopavimento se ≤ 12K)</t>
    </r>
    <r>
      <rPr>
        <sz val="11"/>
        <color theme="1"/>
        <rFont val="Calibri"/>
        <family val="2"/>
        <scheme val="minor"/>
      </rPr>
      <t>:</t>
    </r>
  </si>
  <si>
    <t>Portata richiesta [l/h]:</t>
  </si>
  <si>
    <t>( Max. consigliato:</t>
  </si>
  <si>
    <t>Modello di circolatore:</t>
  </si>
  <si>
    <t>Prevalenza del circolatore alla portata scelta:</t>
  </si>
  <si>
    <t>Perdite di carico del modulo alla portata scelta:</t>
  </si>
  <si>
    <t>Prevalenza residua per il circuito:</t>
  </si>
  <si>
    <t>Classe d'isolamento dell'edificio:</t>
  </si>
  <si>
    <t>Coeff. Per DN25</t>
  </si>
  <si>
    <t>-</t>
  </si>
  <si>
    <t>Wilo Yonos Para RS 25/7,5 RKC</t>
  </si>
  <si>
    <t>Grundfos UPM3 Auto L 25-70</t>
  </si>
  <si>
    <t>Wilo Yonos Para RS 25/6 RKC</t>
  </si>
  <si>
    <r>
      <t xml:space="preserve">Rise in temperature Δt </t>
    </r>
    <r>
      <rPr>
        <sz val="10"/>
        <color theme="1"/>
        <rFont val="Arial Narrow"/>
        <family val="2"/>
      </rPr>
      <t>(underfloor calculation if ≤ 12K)</t>
    </r>
    <r>
      <rPr>
        <sz val="11"/>
        <color theme="1"/>
        <rFont val="Calibri"/>
        <family val="2"/>
        <scheme val="minor"/>
      </rPr>
      <t>:</t>
    </r>
  </si>
  <si>
    <t>Required flow [l/h]:</t>
  </si>
  <si>
    <t>( Max. recommended:</t>
  </si>
  <si>
    <t>Type of circulating pump:</t>
  </si>
  <si>
    <t>Lifting power of the circ. pump at the selected flow:</t>
  </si>
  <si>
    <t>Head losses of the pump unit at the selected flow:</t>
  </si>
  <si>
    <t>Residual lifting power for the loop:</t>
  </si>
  <si>
    <t>Class of insulation of the building:</t>
  </si>
  <si>
    <r>
      <t xml:space="preserve">Saute thermique Δt </t>
    </r>
    <r>
      <rPr>
        <sz val="10"/>
        <color theme="1"/>
        <rFont val="Arial Narrow"/>
        <family val="2"/>
      </rPr>
      <t>(calcul plancher chauffant si ≤ 12K)</t>
    </r>
    <r>
      <rPr>
        <sz val="11"/>
        <color theme="1"/>
        <rFont val="Calibri"/>
        <family val="2"/>
        <scheme val="minor"/>
      </rPr>
      <t>:</t>
    </r>
  </si>
  <si>
    <t>Débit nécessaire [l/h]:</t>
  </si>
  <si>
    <t>( Max conseillé:</t>
  </si>
  <si>
    <t>Modèle de circulateur:</t>
  </si>
  <si>
    <t>Hauteur d’élévation du circulateur au débit choisi:</t>
  </si>
  <si>
    <t>Pertes de charge du module au débit choisi:</t>
  </si>
  <si>
    <t>Hauteur d’élévation résiduelle pour le circuit:</t>
  </si>
  <si>
    <t>Classe d’isolation thermique du bâtiment:</t>
  </si>
  <si>
    <r>
      <t xml:space="preserve">Temperaturdifferenz Δt </t>
    </r>
    <r>
      <rPr>
        <sz val="10"/>
        <color theme="1"/>
        <rFont val="Arial Narrow"/>
        <family val="2"/>
      </rPr>
      <t>(FBH wenn ≤ 12K)</t>
    </r>
    <r>
      <rPr>
        <sz val="11"/>
        <color theme="1"/>
        <rFont val="Calibri"/>
        <family val="2"/>
        <scheme val="minor"/>
      </rPr>
      <t>:</t>
    </r>
  </si>
  <si>
    <t>Erforderlicher Durchfluss [l/h]:</t>
  </si>
  <si>
    <t>( Max. empfohlen:</t>
  </si>
  <si>
    <t>Ausführung der Umwälzpumpe:</t>
  </si>
  <si>
    <t>Förderhöhe der Pumpe auf den gewünschten Duchfluss:</t>
  </si>
  <si>
    <t>Druckverluste des Moduls auf den gewünschten Durchfluss:</t>
  </si>
  <si>
    <t>Restförderhöhe für dien Heizkreis:</t>
  </si>
  <si>
    <t>Isolationsklasse Gebäude:</t>
  </si>
  <si>
    <t>M2 Energy</t>
  </si>
  <si>
    <t>M2 MIX3 Energy</t>
  </si>
  <si>
    <t>M2 G21 Energy - Qn 1,5</t>
  </si>
  <si>
    <t>M2 G21 Energy - Qn 2,5</t>
  </si>
  <si>
    <t>M2 MIX3 G21 Energy - Qn 1,5</t>
  </si>
  <si>
    <t>M2 MIX3 G21 Energy - Qn 2,5</t>
  </si>
  <si>
    <t>MODULI IDRAULICI ENERGY DN25</t>
  </si>
  <si>
    <t>DN25 ENERGY PUMP UNITS</t>
  </si>
  <si>
    <t>MODULES HYDRAULIQUES ENERGY DN25</t>
  </si>
  <si>
    <t>DN25 ENERGY PUMPENGRUPPEN</t>
  </si>
  <si>
    <t>Leistung:</t>
  </si>
  <si>
    <t>Puissance:</t>
  </si>
  <si>
    <t>Power:</t>
  </si>
  <si>
    <t>Potenza: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</si>
</sst>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00000000_-;\-* #,##0.00000000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sz val="10"/>
      <color theme="1"/>
      <name val="Arial Narrow"/>
      <family val="2"/>
    </font>
    <font>
      <b/>
      <i/>
      <sz val="11"/>
      <color rgb="FFFF0000"/>
      <name val="Calibri"/>
      <family val="2"/>
      <scheme val="minor"/>
    </font>
    <font>
      <i/>
      <sz val="10"/>
      <name val="Arial Narrow"/>
      <family val="2"/>
    </font>
    <font>
      <b/>
      <i/>
      <sz val="14"/>
      <color theme="5"/>
      <name val="Times New Roman"/>
      <family val="1"/>
    </font>
    <font>
      <sz val="11"/>
      <color rgb="FF0070C0"/>
      <name val="Calibri"/>
      <family val="2"/>
      <scheme val="minor"/>
    </font>
    <font>
      <i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5" xfId="0" applyBorder="1"/>
    <xf numFmtId="164" fontId="0" fillId="3" borderId="0" xfId="1" applyNumberFormat="1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0" xfId="0" applyFont="1" applyBorder="1"/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0" fillId="0" borderId="2" xfId="0" applyFill="1" applyBorder="1"/>
    <xf numFmtId="165" fontId="8" fillId="0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9" fillId="0" borderId="0" xfId="0" applyFont="1" applyBorder="1"/>
    <xf numFmtId="2" fontId="0" fillId="0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165" fontId="1" fillId="0" borderId="0" xfId="0" applyNumberFormat="1" applyFont="1" applyFill="1" applyBorder="1"/>
    <xf numFmtId="0" fontId="1" fillId="3" borderId="0" xfId="0" applyFont="1" applyFill="1" applyBorder="1" applyAlignment="1">
      <alignment horizontal="right"/>
    </xf>
    <xf numFmtId="0" fontId="7" fillId="3" borderId="0" xfId="0" applyFont="1" applyFill="1" applyBorder="1"/>
    <xf numFmtId="0" fontId="5" fillId="0" borderId="0" xfId="0" applyFont="1" applyBorder="1" applyAlignment="1"/>
    <xf numFmtId="0" fontId="0" fillId="3" borderId="4" xfId="0" applyFill="1" applyBorder="1"/>
    <xf numFmtId="0" fontId="0" fillId="3" borderId="5" xfId="0" applyFill="1" applyBorder="1"/>
    <xf numFmtId="0" fontId="5" fillId="3" borderId="0" xfId="0" applyFont="1" applyFill="1" applyBorder="1" applyAlignment="1"/>
    <xf numFmtId="0" fontId="2" fillId="3" borderId="0" xfId="0" applyFont="1" applyFill="1" applyBorder="1"/>
    <xf numFmtId="0" fontId="10" fillId="0" borderId="0" xfId="0" applyFont="1" applyBorder="1" applyAlignment="1">
      <alignment horizontal="right"/>
    </xf>
    <xf numFmtId="165" fontId="8" fillId="3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165" fontId="0" fillId="3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2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/>
    <xf numFmtId="1" fontId="11" fillId="0" borderId="0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166" fontId="3" fillId="3" borderId="0" xfId="1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7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6" fillId="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4" fillId="3" borderId="0" xfId="0" applyFont="1" applyFill="1" applyBorder="1" applyAlignment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16"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3" name="Picture 2" descr="C:\LAVORI\Calcolo costi orari di produzione e listini\Listino ModvlvS 2009\Immagini per listino\Logo modulus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1</xdr:row>
      <xdr:rowOff>216465</xdr:rowOff>
    </xdr:from>
    <xdr:to>
      <xdr:col>4</xdr:col>
      <xdr:colOff>952500</xdr:colOff>
      <xdr:row>5</xdr:row>
      <xdr:rowOff>138549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1178490"/>
          <a:ext cx="1876425" cy="2779584"/>
        </a:xfrm>
        <a:prstGeom prst="rect">
          <a:avLst/>
        </a:prstGeom>
      </xdr:spPr>
    </xdr:pic>
    <xdr:clientData/>
  </xdr:twoCellAnchor>
  <xdr:twoCellAnchor editAs="oneCell">
    <xdr:from>
      <xdr:col>5</xdr:col>
      <xdr:colOff>89815</xdr:colOff>
      <xdr:row>1</xdr:row>
      <xdr:rowOff>216465</xdr:rowOff>
    </xdr:from>
    <xdr:to>
      <xdr:col>9</xdr:col>
      <xdr:colOff>234034</xdr:colOff>
      <xdr:row>5</xdr:row>
      <xdr:rowOff>138549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890" y="1178490"/>
          <a:ext cx="1868244" cy="2779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2" name="Picture 2" descr="C:\LAVORI\Calcolo costi orari di produzione e listini\Listino ModvlvS 2009\Immagini per listino\Logo modulus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1</xdr:row>
      <xdr:rowOff>219075</xdr:rowOff>
    </xdr:from>
    <xdr:to>
      <xdr:col>4</xdr:col>
      <xdr:colOff>952500</xdr:colOff>
      <xdr:row>5</xdr:row>
      <xdr:rowOff>141159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1181100"/>
          <a:ext cx="1876425" cy="2779584"/>
        </a:xfrm>
        <a:prstGeom prst="rect">
          <a:avLst/>
        </a:prstGeom>
      </xdr:spPr>
    </xdr:pic>
    <xdr:clientData/>
  </xdr:twoCellAnchor>
  <xdr:twoCellAnchor editAs="oneCell">
    <xdr:from>
      <xdr:col>5</xdr:col>
      <xdr:colOff>89815</xdr:colOff>
      <xdr:row>1</xdr:row>
      <xdr:rowOff>219075</xdr:rowOff>
    </xdr:from>
    <xdr:to>
      <xdr:col>9</xdr:col>
      <xdr:colOff>234034</xdr:colOff>
      <xdr:row>5</xdr:row>
      <xdr:rowOff>141159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890" y="1181100"/>
          <a:ext cx="1868244" cy="27795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2" name="Picture 2" descr="C:\LAVORI\Calcolo costi orari di produzione e listini\Listino ModvlvS 2009\Immagini per listino\Logo modulus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1</xdr:row>
      <xdr:rowOff>219075</xdr:rowOff>
    </xdr:from>
    <xdr:to>
      <xdr:col>4</xdr:col>
      <xdr:colOff>952500</xdr:colOff>
      <xdr:row>5</xdr:row>
      <xdr:rowOff>141159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1181100"/>
          <a:ext cx="1876425" cy="2779584"/>
        </a:xfrm>
        <a:prstGeom prst="rect">
          <a:avLst/>
        </a:prstGeom>
      </xdr:spPr>
    </xdr:pic>
    <xdr:clientData/>
  </xdr:twoCellAnchor>
  <xdr:twoCellAnchor editAs="oneCell">
    <xdr:from>
      <xdr:col>5</xdr:col>
      <xdr:colOff>89815</xdr:colOff>
      <xdr:row>1</xdr:row>
      <xdr:rowOff>219075</xdr:rowOff>
    </xdr:from>
    <xdr:to>
      <xdr:col>9</xdr:col>
      <xdr:colOff>234034</xdr:colOff>
      <xdr:row>5</xdr:row>
      <xdr:rowOff>141159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890" y="1181100"/>
          <a:ext cx="1868244" cy="27795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2" name="Picture 2" descr="C:\LAVORI\Calcolo costi orari di produzione e listini\Listino ModvlvS 2009\Immagini per listino\Logo modulus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1</xdr:row>
      <xdr:rowOff>219075</xdr:rowOff>
    </xdr:from>
    <xdr:to>
      <xdr:col>4</xdr:col>
      <xdr:colOff>952500</xdr:colOff>
      <xdr:row>5</xdr:row>
      <xdr:rowOff>141159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1181100"/>
          <a:ext cx="1876425" cy="2779584"/>
        </a:xfrm>
        <a:prstGeom prst="rect">
          <a:avLst/>
        </a:prstGeom>
      </xdr:spPr>
    </xdr:pic>
    <xdr:clientData/>
  </xdr:twoCellAnchor>
  <xdr:twoCellAnchor editAs="oneCell">
    <xdr:from>
      <xdr:col>5</xdr:col>
      <xdr:colOff>89815</xdr:colOff>
      <xdr:row>1</xdr:row>
      <xdr:rowOff>219075</xdr:rowOff>
    </xdr:from>
    <xdr:to>
      <xdr:col>9</xdr:col>
      <xdr:colOff>234034</xdr:colOff>
      <xdr:row>5</xdr:row>
      <xdr:rowOff>141159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890" y="1181100"/>
          <a:ext cx="1868244" cy="2779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workbookViewId="0">
      <selection activeCell="G10" sqref="G10:J10"/>
    </sheetView>
  </sheetViews>
  <sheetFormatPr defaultRowHeight="15" x14ac:dyDescent="0.25"/>
  <cols>
    <col min="1" max="1" width="1.42578125" customWidth="1"/>
    <col min="4" max="4" width="11.42578125" customWidth="1"/>
    <col min="5" max="5" width="17.85546875" customWidth="1"/>
    <col min="6" max="6" width="5.7109375" style="1" customWidth="1"/>
    <col min="7" max="7" width="5" customWidth="1"/>
    <col min="8" max="8" width="7.85546875" customWidth="1"/>
    <col min="9" max="9" width="7.28515625" style="1" customWidth="1"/>
    <col min="10" max="10" width="7.85546875" style="1" customWidth="1"/>
    <col min="11" max="11" width="9.7109375" style="29" bestFit="1" customWidth="1"/>
    <col min="12" max="12" width="3.85546875" bestFit="1" customWidth="1"/>
    <col min="13" max="13" width="1.42578125" customWidth="1"/>
    <col min="14" max="14" width="34.5703125" style="11" hidden="1" customWidth="1"/>
    <col min="15" max="15" width="4" style="11" hidden="1" customWidth="1"/>
    <col min="16" max="16" width="11.28515625" style="12" hidden="1" customWidth="1"/>
    <col min="17" max="17" width="12.42578125" style="12" hidden="1" customWidth="1"/>
    <col min="18" max="21" width="11.28515625" style="12" hidden="1" customWidth="1"/>
    <col min="22" max="24" width="14.140625" style="12" hidden="1" customWidth="1"/>
  </cols>
  <sheetData>
    <row r="1" spans="1:24" ht="75.75" customHeight="1" x14ac:dyDescent="0.35">
      <c r="A1" s="3"/>
      <c r="B1" s="82" t="s">
        <v>76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6"/>
    </row>
    <row r="2" spans="1:24" ht="188.25" customHeight="1" x14ac:dyDescent="0.25">
      <c r="A2" s="7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3"/>
    </row>
    <row r="3" spans="1:24" s="9" customFormat="1" ht="11.25" customHeight="1" x14ac:dyDescent="0.25">
      <c r="A3" s="7"/>
      <c r="F3" s="10"/>
      <c r="I3" s="10"/>
      <c r="J3" s="10"/>
      <c r="K3" s="27"/>
      <c r="M3" s="13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</row>
    <row r="4" spans="1:24" ht="10.5" customHeight="1" x14ac:dyDescent="0.25">
      <c r="A4" s="7"/>
      <c r="B4" s="9"/>
      <c r="C4" s="9"/>
      <c r="D4" s="9"/>
      <c r="E4" s="9"/>
      <c r="F4" s="10"/>
      <c r="G4" s="9"/>
      <c r="H4" s="9"/>
      <c r="I4" s="10"/>
      <c r="J4" s="10"/>
      <c r="K4" s="27"/>
      <c r="L4" s="9"/>
      <c r="M4" s="13"/>
    </row>
    <row r="5" spans="1:24" x14ac:dyDescent="0.25">
      <c r="A5" s="7"/>
      <c r="B5" s="24"/>
      <c r="C5" s="9"/>
      <c r="D5" s="9"/>
      <c r="E5" s="9"/>
      <c r="F5" s="10"/>
      <c r="G5" s="9"/>
      <c r="H5" s="9"/>
      <c r="I5" s="10"/>
      <c r="J5" s="10"/>
      <c r="K5" s="38"/>
      <c r="L5" s="24"/>
      <c r="M5" s="13"/>
      <c r="R5" s="68" t="s">
        <v>29</v>
      </c>
      <c r="S5" s="83" t="s">
        <v>25</v>
      </c>
      <c r="T5" s="83"/>
      <c r="U5" s="83"/>
      <c r="V5" s="84" t="s">
        <v>27</v>
      </c>
      <c r="W5" s="84"/>
      <c r="X5" s="84"/>
    </row>
    <row r="6" spans="1:24" x14ac:dyDescent="0.25">
      <c r="A6" s="7"/>
      <c r="B6" s="9"/>
      <c r="C6" s="9"/>
      <c r="D6" s="9"/>
      <c r="E6" s="9"/>
      <c r="F6" s="10"/>
      <c r="G6" s="9"/>
      <c r="H6" s="9"/>
      <c r="I6" s="10"/>
      <c r="J6" s="10"/>
      <c r="K6" s="27"/>
      <c r="L6" s="9"/>
      <c r="M6" s="13"/>
      <c r="R6" s="68" t="s">
        <v>31</v>
      </c>
      <c r="S6" s="83" t="s">
        <v>26</v>
      </c>
      <c r="T6" s="83"/>
      <c r="U6" s="83"/>
      <c r="V6" s="84" t="s">
        <v>28</v>
      </c>
      <c r="W6" s="84"/>
      <c r="X6" s="84"/>
    </row>
    <row r="7" spans="1:24" ht="10.5" customHeight="1" x14ac:dyDescent="0.25">
      <c r="A7" s="20"/>
      <c r="B7" s="21"/>
      <c r="C7" s="21"/>
      <c r="D7" s="21"/>
      <c r="E7" s="21"/>
      <c r="F7" s="72"/>
      <c r="G7" s="21"/>
      <c r="H7" s="21"/>
      <c r="I7" s="72"/>
      <c r="J7" s="72"/>
      <c r="K7" s="28"/>
      <c r="L7" s="21"/>
      <c r="M7" s="23"/>
      <c r="R7" s="83" t="s">
        <v>30</v>
      </c>
      <c r="S7" s="93" t="s">
        <v>22</v>
      </c>
      <c r="T7" s="93" t="s">
        <v>23</v>
      </c>
      <c r="U7" s="93" t="s">
        <v>24</v>
      </c>
      <c r="V7" s="88" t="s">
        <v>22</v>
      </c>
      <c r="W7" s="88" t="s">
        <v>23</v>
      </c>
      <c r="X7" s="88" t="s">
        <v>24</v>
      </c>
    </row>
    <row r="8" spans="1:24" s="9" customFormat="1" ht="11.25" customHeight="1" x14ac:dyDescent="0.25">
      <c r="F8" s="10"/>
      <c r="I8" s="10"/>
      <c r="J8" s="10"/>
      <c r="K8" s="27"/>
      <c r="N8" s="11"/>
      <c r="O8" s="11"/>
      <c r="P8" s="12"/>
      <c r="Q8" s="12"/>
      <c r="R8" s="83"/>
      <c r="S8" s="93"/>
      <c r="T8" s="93"/>
      <c r="U8" s="93"/>
      <c r="V8" s="88"/>
      <c r="W8" s="88"/>
      <c r="X8" s="88"/>
    </row>
    <row r="9" spans="1:24" ht="10.5" customHeight="1" x14ac:dyDescent="0.25">
      <c r="A9" s="3"/>
      <c r="B9" s="4"/>
      <c r="C9" s="4"/>
      <c r="D9" s="4"/>
      <c r="E9" s="4"/>
      <c r="F9" s="5"/>
      <c r="G9" s="4"/>
      <c r="H9" s="4"/>
      <c r="I9" s="5"/>
      <c r="J9" s="5"/>
      <c r="K9" s="30"/>
      <c r="L9" s="4"/>
      <c r="M9" s="6"/>
      <c r="Q9" s="62"/>
      <c r="R9" s="52"/>
      <c r="S9" s="52"/>
      <c r="T9" s="52"/>
      <c r="U9" s="52"/>
    </row>
    <row r="10" spans="1:24" ht="15.75" x14ac:dyDescent="0.25">
      <c r="A10" s="7"/>
      <c r="B10" s="8"/>
      <c r="C10" s="9"/>
      <c r="D10" s="9"/>
      <c r="E10" s="9"/>
      <c r="F10" s="10"/>
      <c r="G10" s="89" t="s">
        <v>70</v>
      </c>
      <c r="H10" s="89"/>
      <c r="I10" s="89"/>
      <c r="J10" s="89"/>
      <c r="K10" s="27"/>
      <c r="L10" s="9"/>
      <c r="M10" s="13"/>
      <c r="N10" s="56" t="s">
        <v>70</v>
      </c>
      <c r="O10" s="11">
        <f>IF(G10=N10,1,0)</f>
        <v>1</v>
      </c>
      <c r="P10" s="12" t="s">
        <v>12</v>
      </c>
      <c r="Q10" s="49">
        <v>8</v>
      </c>
      <c r="R10" s="52">
        <v>2.6</v>
      </c>
      <c r="S10" s="75">
        <v>2972</v>
      </c>
      <c r="T10" s="75">
        <v>2421</v>
      </c>
      <c r="U10" s="75">
        <v>2161</v>
      </c>
      <c r="V10" s="54">
        <f>S10*$G22/860</f>
        <v>69.116279069767444</v>
      </c>
      <c r="W10" s="54">
        <f>T10*$G22/860</f>
        <v>56.302325581395351</v>
      </c>
      <c r="X10" s="54">
        <f>U10*$G22/860</f>
        <v>50.255813953488371</v>
      </c>
    </row>
    <row r="11" spans="1:24" s="2" customFormat="1" ht="15.75" hidden="1" x14ac:dyDescent="0.25">
      <c r="A11" s="42"/>
      <c r="B11" s="45"/>
      <c r="C11" s="11"/>
      <c r="D11" s="11"/>
      <c r="E11" s="11"/>
      <c r="F11" s="12"/>
      <c r="G11" s="12"/>
      <c r="H11" s="11"/>
      <c r="I11" s="12"/>
      <c r="J11" s="12"/>
      <c r="K11" s="11"/>
      <c r="L11" s="11"/>
      <c r="M11" s="43"/>
      <c r="N11" s="56" t="s">
        <v>71</v>
      </c>
      <c r="O11" s="11">
        <f>IF(G10=N11,1,0)</f>
        <v>0</v>
      </c>
      <c r="P11" s="12" t="s">
        <v>12</v>
      </c>
      <c r="Q11" s="49">
        <v>6</v>
      </c>
      <c r="R11" s="52">
        <v>4.0999999999999996</v>
      </c>
      <c r="S11" s="75">
        <v>2284</v>
      </c>
      <c r="T11" s="75">
        <v>1770</v>
      </c>
      <c r="U11" s="75">
        <v>1511</v>
      </c>
      <c r="V11" s="54">
        <f>S11*$G22/860</f>
        <v>53.116279069767444</v>
      </c>
      <c r="W11" s="54">
        <f>T11*$G22/860</f>
        <v>41.162790697674417</v>
      </c>
      <c r="X11" s="54">
        <f>U11*$G22/860</f>
        <v>35.139534883720927</v>
      </c>
    </row>
    <row r="12" spans="1:24" s="2" customFormat="1" ht="15.75" hidden="1" x14ac:dyDescent="0.25">
      <c r="A12" s="42"/>
      <c r="B12" s="45"/>
      <c r="C12" s="11"/>
      <c r="D12" s="11"/>
      <c r="E12" s="11"/>
      <c r="F12" s="12"/>
      <c r="G12" s="12"/>
      <c r="H12" s="11"/>
      <c r="I12" s="12"/>
      <c r="J12" s="12"/>
      <c r="K12" s="11"/>
      <c r="L12" s="11"/>
      <c r="M12" s="43"/>
      <c r="N12" s="56" t="s">
        <v>72</v>
      </c>
      <c r="O12" s="11">
        <f>IF(G10=N12,1,0)</f>
        <v>0</v>
      </c>
      <c r="P12" s="12" t="s">
        <v>12</v>
      </c>
      <c r="Q12" s="49">
        <v>2.8</v>
      </c>
      <c r="R12" s="52">
        <v>5</v>
      </c>
      <c r="S12" s="75">
        <v>1408</v>
      </c>
      <c r="T12" s="75">
        <v>1082</v>
      </c>
      <c r="U12" s="75">
        <v>902</v>
      </c>
      <c r="V12" s="54">
        <f>S12*$G22/860</f>
        <v>32.744186046511629</v>
      </c>
      <c r="W12" s="54">
        <f>T12*$G22/860</f>
        <v>25.162790697674417</v>
      </c>
      <c r="X12" s="54">
        <f>U12*$G22/860</f>
        <v>20.976744186046513</v>
      </c>
    </row>
    <row r="13" spans="1:24" s="2" customFormat="1" ht="15.75" hidden="1" x14ac:dyDescent="0.25">
      <c r="A13" s="42"/>
      <c r="B13" s="45"/>
      <c r="C13" s="11"/>
      <c r="D13" s="11"/>
      <c r="E13" s="11"/>
      <c r="F13" s="12"/>
      <c r="G13" s="12"/>
      <c r="H13" s="11"/>
      <c r="I13" s="12"/>
      <c r="J13" s="12"/>
      <c r="K13" s="11"/>
      <c r="L13" s="11"/>
      <c r="M13" s="43"/>
      <c r="N13" s="56" t="s">
        <v>73</v>
      </c>
      <c r="O13" s="11">
        <f>IF(G10=N13,1,0)</f>
        <v>0</v>
      </c>
      <c r="P13" s="12" t="s">
        <v>12</v>
      </c>
      <c r="Q13" s="49">
        <v>4.2</v>
      </c>
      <c r="R13" s="52">
        <v>5</v>
      </c>
      <c r="S13" s="75">
        <v>1757</v>
      </c>
      <c r="T13" s="75">
        <v>1315</v>
      </c>
      <c r="U13" s="75">
        <v>1080</v>
      </c>
      <c r="V13" s="54">
        <f>S13*$G22/860</f>
        <v>40.860465116279073</v>
      </c>
      <c r="W13" s="54">
        <f>T13*$G22/860</f>
        <v>30.581395348837209</v>
      </c>
      <c r="X13" s="54">
        <f>U13*$G22/860</f>
        <v>25.11627906976744</v>
      </c>
    </row>
    <row r="14" spans="1:24" s="2" customFormat="1" ht="15.75" hidden="1" x14ac:dyDescent="0.25">
      <c r="A14" s="42"/>
      <c r="B14" s="45"/>
      <c r="C14" s="11"/>
      <c r="D14" s="11"/>
      <c r="E14" s="11"/>
      <c r="F14" s="12"/>
      <c r="G14" s="12"/>
      <c r="H14" s="11"/>
      <c r="I14" s="12"/>
      <c r="J14" s="12"/>
      <c r="K14" s="11"/>
      <c r="L14" s="11"/>
      <c r="M14" s="43"/>
      <c r="N14" s="56" t="s">
        <v>74</v>
      </c>
      <c r="O14" s="11">
        <f>IF(G10=N14,1,0)</f>
        <v>0</v>
      </c>
      <c r="P14" s="12" t="s">
        <v>12</v>
      </c>
      <c r="Q14" s="49">
        <v>2.8</v>
      </c>
      <c r="R14" s="52">
        <v>5</v>
      </c>
      <c r="S14" s="75">
        <v>1408</v>
      </c>
      <c r="T14" s="75">
        <v>1082</v>
      </c>
      <c r="U14" s="75">
        <v>902</v>
      </c>
      <c r="V14" s="54">
        <f>S14*$G22/860</f>
        <v>32.744186046511629</v>
      </c>
      <c r="W14" s="54">
        <f>T14*$G22/860</f>
        <v>25.162790697674417</v>
      </c>
      <c r="X14" s="54">
        <f>U14*$G22/860</f>
        <v>20.976744186046513</v>
      </c>
    </row>
    <row r="15" spans="1:24" s="2" customFormat="1" ht="15.75" hidden="1" x14ac:dyDescent="0.25">
      <c r="A15" s="42"/>
      <c r="B15" s="45"/>
      <c r="C15" s="11"/>
      <c r="D15" s="11"/>
      <c r="E15" s="11"/>
      <c r="F15" s="12"/>
      <c r="G15" s="12"/>
      <c r="H15" s="11"/>
      <c r="I15" s="12"/>
      <c r="J15" s="12"/>
      <c r="K15" s="11"/>
      <c r="L15" s="11"/>
      <c r="M15" s="43"/>
      <c r="N15" s="56" t="s">
        <v>75</v>
      </c>
      <c r="O15" s="11">
        <f>IF(G10=N15,1,0)</f>
        <v>0</v>
      </c>
      <c r="P15" s="12" t="s">
        <v>12</v>
      </c>
      <c r="Q15" s="49">
        <v>3.8</v>
      </c>
      <c r="R15" s="52">
        <v>5</v>
      </c>
      <c r="S15" s="75">
        <v>1673</v>
      </c>
      <c r="T15" s="75">
        <v>1261</v>
      </c>
      <c r="U15" s="75">
        <v>1039</v>
      </c>
      <c r="V15" s="54">
        <f>S15*$G22/860</f>
        <v>38.906976744186046</v>
      </c>
      <c r="W15" s="54">
        <f>T15*$G22/860</f>
        <v>29.325581395348838</v>
      </c>
      <c r="X15" s="54">
        <f>U15*$G22/860</f>
        <v>24.162790697674417</v>
      </c>
    </row>
    <row r="16" spans="1:24" s="2" customFormat="1" ht="15.75" hidden="1" x14ac:dyDescent="0.25">
      <c r="A16" s="42"/>
      <c r="B16" s="45"/>
      <c r="C16" s="11"/>
      <c r="D16" s="11"/>
      <c r="E16" s="11"/>
      <c r="F16" s="12"/>
      <c r="G16" s="12"/>
      <c r="H16" s="11"/>
      <c r="I16" s="12"/>
      <c r="J16" s="12"/>
      <c r="K16" s="11"/>
      <c r="L16" s="11"/>
      <c r="M16" s="43"/>
      <c r="N16" s="56" t="s">
        <v>42</v>
      </c>
      <c r="O16" s="11">
        <f>IF(G10=N16,1,0)</f>
        <v>0</v>
      </c>
      <c r="P16" s="12" t="s">
        <v>12</v>
      </c>
      <c r="Q16" s="49"/>
      <c r="R16" s="52"/>
      <c r="S16" s="75"/>
      <c r="T16" s="75"/>
      <c r="U16" s="75"/>
      <c r="V16" s="54">
        <f>S16*$G22/860</f>
        <v>0</v>
      </c>
      <c r="W16" s="54">
        <f>T16*$G22/860</f>
        <v>0</v>
      </c>
      <c r="X16" s="54">
        <f>U16*$G22/860</f>
        <v>0</v>
      </c>
    </row>
    <row r="17" spans="1:24" s="2" customFormat="1" ht="15.75" hidden="1" x14ac:dyDescent="0.25">
      <c r="A17" s="42"/>
      <c r="B17" s="45"/>
      <c r="C17" s="11"/>
      <c r="D17" s="11"/>
      <c r="E17" s="11"/>
      <c r="F17" s="12"/>
      <c r="G17" s="12"/>
      <c r="H17" s="11"/>
      <c r="I17" s="12"/>
      <c r="J17" s="12"/>
      <c r="K17" s="11"/>
      <c r="L17" s="11"/>
      <c r="M17" s="43"/>
      <c r="N17" s="56" t="s">
        <v>42</v>
      </c>
      <c r="O17" s="11">
        <f>IF(G10=N17,1,0)</f>
        <v>0</v>
      </c>
      <c r="P17" s="12" t="s">
        <v>12</v>
      </c>
      <c r="Q17" s="49"/>
      <c r="R17" s="52"/>
      <c r="S17" s="75"/>
      <c r="T17" s="75"/>
      <c r="U17" s="75"/>
      <c r="V17" s="54">
        <f>S17*$G22/860</f>
        <v>0</v>
      </c>
      <c r="W17" s="54">
        <f>T17*$G22/860</f>
        <v>0</v>
      </c>
      <c r="X17" s="54">
        <f>U17*$G22/860</f>
        <v>0</v>
      </c>
    </row>
    <row r="18" spans="1:24" s="2" customFormat="1" ht="15.75" hidden="1" x14ac:dyDescent="0.25">
      <c r="A18" s="42"/>
      <c r="B18" s="45"/>
      <c r="C18" s="11"/>
      <c r="D18" s="11"/>
      <c r="E18" s="11"/>
      <c r="F18" s="12"/>
      <c r="G18" s="12"/>
      <c r="H18" s="11"/>
      <c r="I18" s="12"/>
      <c r="J18" s="12"/>
      <c r="K18" s="11"/>
      <c r="L18" s="11"/>
      <c r="M18" s="43"/>
      <c r="N18" s="56" t="s">
        <v>42</v>
      </c>
      <c r="O18" s="11">
        <f>IF(G10=N18,1,0)</f>
        <v>0</v>
      </c>
      <c r="P18" s="12" t="s">
        <v>12</v>
      </c>
      <c r="Q18" s="49"/>
      <c r="R18" s="52"/>
      <c r="S18" s="53"/>
      <c r="T18" s="53"/>
      <c r="U18" s="53"/>
      <c r="V18" s="54">
        <f>S18*$G22/860</f>
        <v>0</v>
      </c>
      <c r="W18" s="54">
        <f t="shared" ref="W18:X18" si="0">T18*$G22/860</f>
        <v>0</v>
      </c>
      <c r="X18" s="54">
        <f t="shared" si="0"/>
        <v>0</v>
      </c>
    </row>
    <row r="19" spans="1:24" s="2" customFormat="1" ht="15.75" hidden="1" x14ac:dyDescent="0.25">
      <c r="A19" s="42"/>
      <c r="B19" s="45"/>
      <c r="C19" s="11"/>
      <c r="D19" s="11"/>
      <c r="E19" s="11"/>
      <c r="F19" s="12"/>
      <c r="G19" s="12"/>
      <c r="H19" s="11"/>
      <c r="I19" s="12"/>
      <c r="J19" s="12"/>
      <c r="K19" s="11"/>
      <c r="L19" s="11"/>
      <c r="M19" s="43"/>
      <c r="N19" s="56" t="s">
        <v>42</v>
      </c>
      <c r="O19" s="11">
        <f>IF(G10=N19,1,0)</f>
        <v>0</v>
      </c>
      <c r="P19" s="12" t="s">
        <v>12</v>
      </c>
      <c r="Q19" s="49"/>
      <c r="R19" s="52"/>
      <c r="S19" s="53"/>
      <c r="T19" s="53"/>
      <c r="U19" s="53"/>
      <c r="V19" s="54">
        <f>S19*$G22/860</f>
        <v>0</v>
      </c>
      <c r="W19" s="54">
        <f t="shared" ref="W19:X19" si="1">T19*$G22/860</f>
        <v>0</v>
      </c>
      <c r="X19" s="54">
        <f t="shared" si="1"/>
        <v>0</v>
      </c>
    </row>
    <row r="20" spans="1:24" ht="8.25" customHeight="1" x14ac:dyDescent="0.3">
      <c r="A20" s="7"/>
      <c r="B20" s="9"/>
      <c r="C20" s="9"/>
      <c r="D20" s="9"/>
      <c r="E20" s="9"/>
      <c r="F20" s="41"/>
      <c r="G20" s="41"/>
      <c r="H20" s="41"/>
      <c r="I20" s="41"/>
      <c r="J20" s="41"/>
      <c r="K20" s="27"/>
      <c r="L20" s="9"/>
      <c r="M20" s="13"/>
      <c r="N20" s="57"/>
    </row>
    <row r="21" spans="1:24" x14ac:dyDescent="0.25">
      <c r="A21" s="7"/>
      <c r="B21" s="9"/>
      <c r="C21" s="9"/>
      <c r="D21" s="9"/>
      <c r="E21" s="9"/>
      <c r="F21" s="10"/>
      <c r="G21" s="76"/>
      <c r="H21" s="90"/>
      <c r="I21" s="90"/>
      <c r="J21" s="90"/>
      <c r="K21" s="90"/>
      <c r="L21" s="90"/>
      <c r="M21" s="13"/>
    </row>
    <row r="22" spans="1:24" x14ac:dyDescent="0.25">
      <c r="A22" s="7"/>
      <c r="B22" s="9" t="s">
        <v>33</v>
      </c>
      <c r="C22" s="9"/>
      <c r="D22" s="9"/>
      <c r="E22" s="9"/>
      <c r="F22" s="10"/>
      <c r="G22" s="69">
        <v>20</v>
      </c>
      <c r="H22" s="9" t="s">
        <v>1</v>
      </c>
      <c r="I22" s="10"/>
      <c r="J22" s="10"/>
      <c r="K22" s="27"/>
      <c r="L22" s="9"/>
      <c r="M22" s="13"/>
      <c r="N22" s="58"/>
    </row>
    <row r="23" spans="1:24" ht="15.75" x14ac:dyDescent="0.25">
      <c r="A23" s="7"/>
      <c r="B23" s="9" t="s">
        <v>34</v>
      </c>
      <c r="C23" s="9"/>
      <c r="D23" s="9"/>
      <c r="E23" s="9"/>
      <c r="F23" s="10"/>
      <c r="G23" s="69">
        <v>2150</v>
      </c>
      <c r="H23" s="26" t="s">
        <v>2</v>
      </c>
      <c r="I23" s="25"/>
      <c r="J23" s="25"/>
      <c r="K23" s="60"/>
      <c r="L23" s="33"/>
      <c r="M23" s="13"/>
      <c r="N23" s="58"/>
      <c r="P23" s="67"/>
      <c r="Q23" s="14"/>
      <c r="R23" s="14"/>
      <c r="S23" s="14"/>
      <c r="T23" s="14"/>
      <c r="U23" s="14"/>
      <c r="V23" s="14"/>
      <c r="W23" s="14"/>
      <c r="X23" s="14"/>
    </row>
    <row r="24" spans="1:24" x14ac:dyDescent="0.25">
      <c r="A24" s="7"/>
      <c r="B24" s="9"/>
      <c r="C24" s="9"/>
      <c r="D24" s="9"/>
      <c r="E24" s="9"/>
      <c r="F24" s="10"/>
      <c r="G24" s="9"/>
      <c r="H24" s="9"/>
      <c r="I24" s="10"/>
      <c r="J24" s="10"/>
      <c r="K24" s="27"/>
      <c r="L24" s="15"/>
      <c r="M24" s="13"/>
      <c r="N24" s="58"/>
    </row>
    <row r="25" spans="1:24" ht="15.75" x14ac:dyDescent="0.25">
      <c r="A25" s="7"/>
      <c r="B25" s="16" t="s">
        <v>83</v>
      </c>
      <c r="C25" s="9"/>
      <c r="D25" s="9"/>
      <c r="E25" s="38">
        <f>G23*G22/860</f>
        <v>50</v>
      </c>
      <c r="F25" s="24" t="s">
        <v>0</v>
      </c>
      <c r="H25" s="65" t="s">
        <v>35</v>
      </c>
      <c r="I25" s="63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50.255813953488371</v>
      </c>
      <c r="J25" s="66" t="s">
        <v>15</v>
      </c>
      <c r="K25" s="38"/>
      <c r="L25" s="24"/>
      <c r="M25" s="13"/>
      <c r="N25" s="64">
        <f>E25/I25-1</f>
        <v>-5.0902360018509896E-3</v>
      </c>
      <c r="P25" s="36"/>
      <c r="Q25" s="32"/>
      <c r="S25" s="67" t="s">
        <v>10</v>
      </c>
      <c r="T25" s="67" t="s">
        <v>11</v>
      </c>
      <c r="U25" s="67"/>
    </row>
    <row r="26" spans="1:24" x14ac:dyDescent="0.25">
      <c r="A26" s="7"/>
      <c r="B26" s="27"/>
      <c r="C26" s="9"/>
      <c r="D26" s="9"/>
      <c r="E26" s="9"/>
      <c r="F26" s="10"/>
      <c r="G26" s="9"/>
      <c r="H26" s="9"/>
      <c r="I26" s="10"/>
      <c r="J26" s="10"/>
      <c r="K26" s="27"/>
      <c r="L26" s="9"/>
      <c r="M26" s="13"/>
      <c r="P26" s="67" t="s">
        <v>8</v>
      </c>
      <c r="Q26" s="67" t="s">
        <v>7</v>
      </c>
      <c r="R26" s="67" t="s">
        <v>6</v>
      </c>
      <c r="S26" s="67" t="s">
        <v>9</v>
      </c>
      <c r="T26" s="67" t="s">
        <v>9</v>
      </c>
      <c r="U26" s="67"/>
      <c r="V26" s="67" t="s">
        <v>4</v>
      </c>
      <c r="W26" s="67" t="s">
        <v>5</v>
      </c>
      <c r="X26" s="67"/>
    </row>
    <row r="27" spans="1:24" x14ac:dyDescent="0.25">
      <c r="A27" s="7"/>
      <c r="B27" s="9" t="s">
        <v>36</v>
      </c>
      <c r="C27" s="9"/>
      <c r="D27" s="9"/>
      <c r="E27" s="9"/>
      <c r="F27" s="10"/>
      <c r="G27" s="91" t="s">
        <v>45</v>
      </c>
      <c r="H27" s="91"/>
      <c r="I27" s="91"/>
      <c r="J27" s="91"/>
      <c r="K27" s="27"/>
      <c r="L27" s="9"/>
      <c r="M27" s="13"/>
      <c r="N27" s="11" t="s">
        <v>43</v>
      </c>
      <c r="O27" s="11">
        <f>IF(N27=G27,1,0)</f>
        <v>0</v>
      </c>
      <c r="P27" s="12" t="str">
        <f>IF(O27=1,1,"")</f>
        <v/>
      </c>
      <c r="Q27" s="12" t="str">
        <f>IF(O27=1,IF(G23&gt;=R27,2,1),"")</f>
        <v/>
      </c>
      <c r="R27" s="62">
        <v>1400</v>
      </c>
      <c r="S27" s="62">
        <v>-2.2857099999999998E-3</v>
      </c>
      <c r="T27" s="62">
        <v>10.8</v>
      </c>
      <c r="V27" s="62">
        <v>7.6</v>
      </c>
      <c r="W27" s="12">
        <f>G23*S27+T27</f>
        <v>5.885723500000001</v>
      </c>
    </row>
    <row r="28" spans="1:24" s="2" customFormat="1" hidden="1" x14ac:dyDescent="0.25">
      <c r="A28" s="42"/>
      <c r="B28" s="11"/>
      <c r="C28" s="11"/>
      <c r="D28" s="11"/>
      <c r="E28" s="11"/>
      <c r="F28" s="12"/>
      <c r="G28" s="12"/>
      <c r="H28" s="11"/>
      <c r="I28" s="12"/>
      <c r="J28" s="12"/>
      <c r="K28" s="11"/>
      <c r="L28" s="11"/>
      <c r="M28" s="43"/>
      <c r="N28" s="11" t="s">
        <v>44</v>
      </c>
      <c r="O28" s="11">
        <f>IF(N28=G27,1,0)</f>
        <v>0</v>
      </c>
      <c r="P28" s="12" t="str">
        <f>IF(O28=1,2,"")</f>
        <v/>
      </c>
      <c r="Q28" s="12" t="str">
        <f>IF(O28=1,IF(G23&gt;=R28,2,1),"")</f>
        <v/>
      </c>
      <c r="R28" s="62">
        <v>800</v>
      </c>
      <c r="S28" s="62">
        <v>-2.23077E-3</v>
      </c>
      <c r="T28" s="62">
        <v>8.9350000000000005</v>
      </c>
      <c r="U28" s="12"/>
      <c r="V28" s="62">
        <v>7.15</v>
      </c>
      <c r="W28" s="12">
        <f>G23*S28+T28</f>
        <v>4.1388445000000003</v>
      </c>
      <c r="X28" s="12"/>
    </row>
    <row r="29" spans="1:24" s="2" customFormat="1" hidden="1" x14ac:dyDescent="0.25">
      <c r="A29" s="42"/>
      <c r="B29" s="11"/>
      <c r="C29" s="11"/>
      <c r="D29" s="11"/>
      <c r="E29" s="11"/>
      <c r="F29" s="12"/>
      <c r="G29" s="12"/>
      <c r="H29" s="11"/>
      <c r="I29" s="12"/>
      <c r="J29" s="12"/>
      <c r="K29" s="11"/>
      <c r="L29" s="11"/>
      <c r="M29" s="43"/>
      <c r="N29" s="11" t="s">
        <v>45</v>
      </c>
      <c r="O29" s="11">
        <f>IF(N29=G27,1,0)</f>
        <v>1</v>
      </c>
      <c r="P29" s="12">
        <f>IF(O29=1,3,"")</f>
        <v>3</v>
      </c>
      <c r="Q29" s="12">
        <f>IF(O29=1,IF(G23&gt;=R29,2,1),"")</f>
        <v>2</v>
      </c>
      <c r="R29" s="62">
        <v>800</v>
      </c>
      <c r="S29" s="62">
        <v>-2.1538400000000002E-3</v>
      </c>
      <c r="T29" s="62">
        <v>8</v>
      </c>
      <c r="U29" s="12"/>
      <c r="V29" s="62">
        <v>6.3</v>
      </c>
      <c r="W29" s="12">
        <f>G23*S29+T29</f>
        <v>3.3692439999999992</v>
      </c>
      <c r="X29" s="12"/>
    </row>
    <row r="30" spans="1:24" s="2" customFormat="1" ht="18.75" hidden="1" x14ac:dyDescent="0.3">
      <c r="A30" s="42"/>
      <c r="B30" s="11"/>
      <c r="C30" s="11"/>
      <c r="D30" s="11"/>
      <c r="E30" s="11"/>
      <c r="F30" s="44"/>
      <c r="G30" s="44"/>
      <c r="H30" s="44"/>
      <c r="I30" s="44"/>
      <c r="J30" s="44"/>
      <c r="K30" s="11"/>
      <c r="L30" s="11"/>
      <c r="M30" s="43"/>
      <c r="N30" s="57"/>
      <c r="O30" s="11">
        <f>SUM(O27:O29)</f>
        <v>1</v>
      </c>
      <c r="P30" s="12">
        <f>SUM(P27:P29)</f>
        <v>3</v>
      </c>
      <c r="Q30" s="12">
        <f>SUM(Q27:Q29)</f>
        <v>2</v>
      </c>
      <c r="R30" s="12"/>
      <c r="S30" s="12"/>
      <c r="T30" s="12"/>
      <c r="U30" s="12"/>
      <c r="V30" s="12"/>
      <c r="W30" s="12"/>
      <c r="X30" s="12"/>
    </row>
    <row r="31" spans="1:24" ht="8.25" customHeight="1" x14ac:dyDescent="0.25">
      <c r="A31" s="7"/>
      <c r="B31" s="9"/>
      <c r="C31" s="9"/>
      <c r="D31" s="9"/>
      <c r="E31" s="9"/>
      <c r="F31" s="10"/>
      <c r="G31" s="9"/>
      <c r="H31" s="9"/>
      <c r="I31" s="10"/>
      <c r="J31" s="10"/>
      <c r="K31" s="27"/>
      <c r="L31" s="9"/>
      <c r="M31" s="13"/>
    </row>
    <row r="32" spans="1:24" x14ac:dyDescent="0.25">
      <c r="A32" s="7"/>
      <c r="B32" s="9"/>
      <c r="C32" s="9"/>
      <c r="D32" s="9"/>
      <c r="E32" s="9"/>
      <c r="F32" s="10"/>
      <c r="G32" s="9"/>
      <c r="H32" s="17" t="s">
        <v>37</v>
      </c>
      <c r="I32" s="34">
        <f>IF(O30=1,IF(AND(P30=1,Q30=1),V27,IF(AND(P30=1,Q30=2),W27,IF(AND(P30=2,Q30=1),V28,IF(AND(P30=2,Q30=2),W28,IF(AND(P30=3,Q30=1),V29,IF(AND(P30=3,Q30=2),W29,"Errore")))))),"- -")</f>
        <v>3.3692439999999992</v>
      </c>
      <c r="J32" s="9" t="s">
        <v>3</v>
      </c>
      <c r="K32" s="27"/>
      <c r="L32" s="9"/>
      <c r="M32" s="13"/>
    </row>
    <row r="33" spans="1:24" x14ac:dyDescent="0.25">
      <c r="A33" s="7"/>
      <c r="B33" s="9"/>
      <c r="C33" s="9"/>
      <c r="D33" s="9"/>
      <c r="E33" s="9"/>
      <c r="F33" s="10"/>
      <c r="G33" s="9"/>
      <c r="H33" s="17" t="s">
        <v>38</v>
      </c>
      <c r="I33" s="34">
        <f>IF(O30=1,IF(S33&lt;0.2,0.2,S33),"- -")</f>
        <v>0.73656648437499994</v>
      </c>
      <c r="J33" s="9" t="s">
        <v>3</v>
      </c>
      <c r="K33" s="27"/>
      <c r="L33" s="9"/>
      <c r="M33" s="13"/>
      <c r="P33" s="12" t="s">
        <v>12</v>
      </c>
      <c r="Q33" s="32">
        <f>IF(O10=1,Q10,IF(O11=1,Q11,IF(O12=1,Q12,IF(O13=1,Q13,IF(O14=1,Q14,IF(O15=1,Q15,IF(O16=1,Q16,IF(O17=1,Q17,IF(O17=1,Q17,IF(O18=1,Q18,IF(O19=1,Q19,"Errore!")))))))))))</f>
        <v>8</v>
      </c>
      <c r="R33" s="36" t="s">
        <v>13</v>
      </c>
      <c r="S33" s="12">
        <f>(G23/1000/Q33)^2*10.198</f>
        <v>0.73656648437499994</v>
      </c>
    </row>
    <row r="34" spans="1:24" ht="15.75" x14ac:dyDescent="0.25">
      <c r="A34" s="7"/>
      <c r="B34" s="9"/>
      <c r="C34" s="9"/>
      <c r="D34" s="9"/>
      <c r="E34" s="9"/>
      <c r="F34" s="10"/>
      <c r="G34" s="9"/>
      <c r="H34" s="18" t="s">
        <v>39</v>
      </c>
      <c r="I34" s="31">
        <f>IF(O30=1,I32-I33,"- -")</f>
        <v>2.6326775156249993</v>
      </c>
      <c r="J34" s="19" t="s">
        <v>3</v>
      </c>
      <c r="K34" s="55"/>
      <c r="L34" s="9"/>
      <c r="M34" s="13"/>
      <c r="N34" s="40"/>
    </row>
    <row r="35" spans="1:24" ht="9" customHeight="1" x14ac:dyDescent="0.25">
      <c r="A35" s="7"/>
      <c r="B35" s="9"/>
      <c r="C35" s="9"/>
      <c r="D35" s="9"/>
      <c r="E35" s="9"/>
      <c r="F35" s="10"/>
      <c r="G35" s="9"/>
      <c r="H35" s="18"/>
      <c r="I35" s="31"/>
      <c r="J35" s="19"/>
      <c r="K35" s="27"/>
      <c r="L35" s="9"/>
      <c r="M35" s="13"/>
      <c r="N35" s="40"/>
    </row>
    <row r="36" spans="1:24" ht="15.75" x14ac:dyDescent="0.25">
      <c r="A36" s="7"/>
      <c r="B36" s="16" t="str">
        <f>IF(G22&lt;=12,"Calcolo sottopavimento:","Calcolo sottopavimento non disponibile se Δt &gt; 12 K")</f>
        <v>Calcolo sottopavimento non disponibile se Δt &gt; 12 K</v>
      </c>
      <c r="C36" s="9"/>
      <c r="D36" s="9"/>
      <c r="E36" s="9"/>
      <c r="F36" s="10"/>
      <c r="G36" s="9"/>
      <c r="H36" s="18"/>
      <c r="I36" s="31"/>
      <c r="J36" s="19"/>
      <c r="K36" s="27"/>
      <c r="L36" s="9"/>
      <c r="M36" s="13"/>
      <c r="N36" s="40"/>
      <c r="S36" s="74" t="s">
        <v>41</v>
      </c>
    </row>
    <row r="37" spans="1:24" ht="9" customHeight="1" x14ac:dyDescent="0.25">
      <c r="A37" s="7"/>
      <c r="B37" s="9"/>
      <c r="C37" s="9"/>
      <c r="D37" s="9"/>
      <c r="E37" s="9"/>
      <c r="F37" s="10"/>
      <c r="G37" s="9"/>
      <c r="H37" s="18"/>
      <c r="I37" s="31"/>
      <c r="J37" s="19"/>
      <c r="K37" s="27"/>
      <c r="L37" s="9"/>
      <c r="M37" s="13"/>
      <c r="N37" s="40"/>
      <c r="S37" s="73"/>
    </row>
    <row r="38" spans="1:24" x14ac:dyDescent="0.25">
      <c r="A38" s="7"/>
      <c r="B38" s="9" t="s">
        <v>40</v>
      </c>
      <c r="C38" s="9"/>
      <c r="D38" s="9"/>
      <c r="E38" s="9"/>
      <c r="F38" s="17"/>
      <c r="G38" s="70" t="s">
        <v>20</v>
      </c>
      <c r="H38" s="9"/>
      <c r="I38" s="46" t="str">
        <f>IF(G22&gt;12,"","Utilizzare Δt=")</f>
        <v/>
      </c>
      <c r="J38" s="19" t="str">
        <f>IF(G22&gt;12,"",IF(G38=N38,P38,IF(G38=N39,P39,IF(G38=N40,P40,""))))</f>
        <v/>
      </c>
      <c r="K38" s="27"/>
      <c r="L38" s="9"/>
      <c r="M38" s="13"/>
      <c r="N38" s="32" t="s">
        <v>19</v>
      </c>
      <c r="O38" s="11">
        <f>IF(N38=G38,1,0)</f>
        <v>0</v>
      </c>
      <c r="P38" s="12" t="s">
        <v>16</v>
      </c>
      <c r="Q38" s="39">
        <f>T38*S38</f>
        <v>34.375</v>
      </c>
      <c r="R38" s="32" t="s">
        <v>14</v>
      </c>
      <c r="S38" s="73">
        <v>1.375</v>
      </c>
      <c r="T38" s="50">
        <v>25</v>
      </c>
      <c r="U38" s="35"/>
      <c r="V38" s="32" t="s">
        <v>14</v>
      </c>
    </row>
    <row r="39" spans="1:24" s="2" customFormat="1" ht="15.75" hidden="1" x14ac:dyDescent="0.25">
      <c r="A39" s="42"/>
      <c r="B39" s="11"/>
      <c r="C39" s="11"/>
      <c r="D39" s="11"/>
      <c r="E39" s="11"/>
      <c r="F39" s="35"/>
      <c r="G39" s="47"/>
      <c r="H39" s="48"/>
      <c r="I39" s="47"/>
      <c r="J39" s="40"/>
      <c r="K39" s="11"/>
      <c r="L39" s="11"/>
      <c r="M39" s="43"/>
      <c r="N39" s="32" t="s">
        <v>20</v>
      </c>
      <c r="O39" s="11">
        <f>IF(N39=G38,1,0)</f>
        <v>1</v>
      </c>
      <c r="P39" s="12" t="s">
        <v>17</v>
      </c>
      <c r="Q39" s="39">
        <f>T39*S39</f>
        <v>110</v>
      </c>
      <c r="R39" s="32" t="s">
        <v>14</v>
      </c>
      <c r="S39" s="73">
        <v>1.375</v>
      </c>
      <c r="T39" s="51">
        <v>80</v>
      </c>
      <c r="U39" s="39"/>
      <c r="V39" s="32" t="s">
        <v>14</v>
      </c>
      <c r="W39" s="12"/>
      <c r="X39" s="12"/>
    </row>
    <row r="40" spans="1:24" s="2" customFormat="1" ht="15.75" hidden="1" x14ac:dyDescent="0.25">
      <c r="A40" s="42"/>
      <c r="B40" s="11"/>
      <c r="C40" s="11"/>
      <c r="D40" s="11"/>
      <c r="E40" s="11"/>
      <c r="F40" s="35"/>
      <c r="G40" s="47"/>
      <c r="H40" s="48"/>
      <c r="I40" s="47"/>
      <c r="J40" s="40"/>
      <c r="K40" s="11"/>
      <c r="L40" s="11"/>
      <c r="M40" s="43"/>
      <c r="N40" s="32" t="s">
        <v>21</v>
      </c>
      <c r="O40" s="11">
        <f>IF(N40=G38,1,0)</f>
        <v>0</v>
      </c>
      <c r="P40" s="12" t="s">
        <v>18</v>
      </c>
      <c r="Q40" s="39">
        <f>T40*S40</f>
        <v>192.5</v>
      </c>
      <c r="R40" s="32" t="s">
        <v>14</v>
      </c>
      <c r="S40" s="73">
        <v>1.375</v>
      </c>
      <c r="T40" s="50">
        <v>140</v>
      </c>
      <c r="U40" s="35"/>
      <c r="V40" s="32" t="s">
        <v>14</v>
      </c>
      <c r="W40" s="12"/>
      <c r="X40" s="12"/>
    </row>
    <row r="41" spans="1:24" s="2" customFormat="1" ht="18.75" hidden="1" x14ac:dyDescent="0.3">
      <c r="A41" s="42"/>
      <c r="B41" s="11"/>
      <c r="C41" s="11"/>
      <c r="D41" s="11"/>
      <c r="E41" s="11"/>
      <c r="F41" s="44"/>
      <c r="G41" s="44"/>
      <c r="H41" s="44"/>
      <c r="I41" s="44"/>
      <c r="J41" s="44"/>
      <c r="K41" s="11"/>
      <c r="L41" s="11"/>
      <c r="M41" s="43"/>
      <c r="N41" s="57"/>
      <c r="O41" s="11">
        <f>SUM(O38:O40)</f>
        <v>1</v>
      </c>
      <c r="P41" s="12">
        <f>SUM(P38:P40)</f>
        <v>0</v>
      </c>
      <c r="Q41" s="35"/>
      <c r="R41" s="12"/>
      <c r="S41" s="12"/>
      <c r="T41" s="12"/>
      <c r="U41" s="12"/>
      <c r="V41" s="12"/>
      <c r="W41" s="12"/>
      <c r="X41" s="12"/>
    </row>
    <row r="42" spans="1:24" ht="9" customHeight="1" x14ac:dyDescent="0.25">
      <c r="A42" s="7"/>
      <c r="B42" s="9"/>
      <c r="C42" s="9"/>
      <c r="D42" s="9"/>
      <c r="E42" s="9"/>
      <c r="F42" s="10"/>
      <c r="G42" s="9"/>
      <c r="H42" s="18"/>
      <c r="I42" s="31"/>
      <c r="J42" s="19"/>
      <c r="K42" s="27"/>
      <c r="L42" s="9"/>
      <c r="M42" s="13"/>
      <c r="N42" s="40"/>
    </row>
    <row r="43" spans="1:24" ht="44.25" customHeight="1" x14ac:dyDescent="0.25">
      <c r="A43" s="7"/>
      <c r="B43" s="92" t="str">
        <f>IF(G22&gt;12,"","Superficie massima dell'impianto sottopavimento gestibile da ciascun modulo, con un salto termico proporzionato alla classe d'isolamento termico selezionata:")</f>
        <v/>
      </c>
      <c r="C43" s="92"/>
      <c r="D43" s="92"/>
      <c r="E43" s="92"/>
      <c r="F43" s="92"/>
      <c r="G43" s="92"/>
      <c r="H43" s="92"/>
      <c r="I43" s="61" t="str">
        <f>IF(G22&gt;12,"",IF(G22&lt;=12,IF(O38=1,E25*1000/Q38,IF(O39=1,E25*1000/Q39,IF(O40=1,E25*1000/Q40,"- -"))),"- - "))</f>
        <v/>
      </c>
      <c r="J43" s="37" t="str">
        <f>IF(G22&gt;12,"","m2")</f>
        <v/>
      </c>
      <c r="K43" s="27"/>
      <c r="L43" s="9"/>
      <c r="M43" s="13"/>
      <c r="N43" s="59"/>
      <c r="Q43" s="35"/>
    </row>
    <row r="44" spans="1:24" ht="10.5" customHeight="1" x14ac:dyDescent="0.25">
      <c r="A44" s="20"/>
      <c r="B44" s="21"/>
      <c r="C44" s="21"/>
      <c r="D44" s="21"/>
      <c r="E44" s="21"/>
      <c r="F44" s="22"/>
      <c r="G44" s="21"/>
      <c r="H44" s="21"/>
      <c r="I44" s="22"/>
      <c r="J44" s="22"/>
      <c r="K44" s="28"/>
      <c r="L44" s="21"/>
      <c r="M44" s="23"/>
    </row>
    <row r="45" spans="1:24" s="9" customFormat="1" ht="11.25" customHeight="1" x14ac:dyDescent="0.25">
      <c r="F45" s="10"/>
      <c r="I45" s="10"/>
      <c r="J45" s="10"/>
      <c r="K45" s="27"/>
      <c r="N45" s="11"/>
      <c r="O45" s="11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0.5" customHeight="1" x14ac:dyDescent="0.25">
      <c r="A46" s="3"/>
      <c r="B46" s="4"/>
      <c r="C46" s="4"/>
      <c r="D46" s="4"/>
      <c r="E46" s="4"/>
      <c r="F46" s="5"/>
      <c r="G46" s="4"/>
      <c r="H46" s="4"/>
      <c r="I46" s="5"/>
      <c r="J46" s="5"/>
      <c r="K46" s="30"/>
      <c r="L46" s="4"/>
      <c r="M46" s="6"/>
    </row>
    <row r="47" spans="1:24" ht="18.75" customHeight="1" x14ac:dyDescent="0.25">
      <c r="A47" s="7"/>
      <c r="B47" s="71" t="s">
        <v>32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13"/>
      <c r="N47" s="40"/>
    </row>
    <row r="48" spans="1:24" ht="30" customHeight="1" x14ac:dyDescent="0.25">
      <c r="A48" s="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13"/>
      <c r="N48" s="40"/>
    </row>
    <row r="49" spans="1:14" ht="30" customHeight="1" x14ac:dyDescent="0.25">
      <c r="A49" s="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13"/>
      <c r="N49" s="40"/>
    </row>
    <row r="50" spans="1:14" ht="30" customHeight="1" x14ac:dyDescent="0.25">
      <c r="A50" s="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13"/>
      <c r="N50" s="40"/>
    </row>
    <row r="51" spans="1:14" ht="10.5" customHeight="1" x14ac:dyDescent="0.25">
      <c r="A51" s="20"/>
      <c r="B51" s="21"/>
      <c r="C51" s="21"/>
      <c r="D51" s="21"/>
      <c r="E51" s="21"/>
      <c r="F51" s="22"/>
      <c r="G51" s="21"/>
      <c r="H51" s="21"/>
      <c r="I51" s="22"/>
      <c r="J51" s="22"/>
      <c r="K51" s="28"/>
      <c r="L51" s="21"/>
      <c r="M51" s="23"/>
    </row>
  </sheetData>
  <sheetProtection algorithmName="SHA-512" hashValue="9tkul+/UiIkLyAf5ysND8jwzO+/C63LIdmzcrkbnRn15QqdejouZzq49CdM0sdzUgTntmSC+lZ2jYId85XgxUQ==" saltValue="vBdx1TER3weimjjKJzvNxg==" spinCount="100000" sheet="1" objects="1" scenarios="1" selectLockedCells="1"/>
  <dataConsolidate/>
  <mergeCells count="21">
    <mergeCell ref="C47:L47"/>
    <mergeCell ref="B48:L48"/>
    <mergeCell ref="B49:L49"/>
    <mergeCell ref="B50:L50"/>
    <mergeCell ref="X7:X8"/>
    <mergeCell ref="G10:J10"/>
    <mergeCell ref="H21:L21"/>
    <mergeCell ref="G27:J27"/>
    <mergeCell ref="B43:H43"/>
    <mergeCell ref="R7:R8"/>
    <mergeCell ref="S7:S8"/>
    <mergeCell ref="T7:T8"/>
    <mergeCell ref="U7:U8"/>
    <mergeCell ref="V7:V8"/>
    <mergeCell ref="W7:W8"/>
    <mergeCell ref="B1:L1"/>
    <mergeCell ref="S5:U5"/>
    <mergeCell ref="V5:X5"/>
    <mergeCell ref="S6:U6"/>
    <mergeCell ref="V6:X6"/>
    <mergeCell ref="B2:L2"/>
  </mergeCells>
  <conditionalFormatting sqref="I34">
    <cfRule type="cellIs" dxfId="15" priority="10" operator="lessThan">
      <formula>0.5</formula>
    </cfRule>
  </conditionalFormatting>
  <conditionalFormatting sqref="K5">
    <cfRule type="cellIs" dxfId="14" priority="9" operator="greaterThan">
      <formula>50</formula>
    </cfRule>
  </conditionalFormatting>
  <conditionalFormatting sqref="E25:F25">
    <cfRule type="expression" dxfId="13" priority="5" stopIfTrue="1">
      <formula>$N$25&gt;=0.1</formula>
    </cfRule>
    <cfRule type="expression" dxfId="12" priority="6">
      <formula>$N$25&gt;0</formula>
    </cfRule>
  </conditionalFormatting>
  <dataValidations count="3">
    <dataValidation type="list" allowBlank="1" showErrorMessage="1" sqref="G10:J10">
      <formula1>$N$10:$N$15</formula1>
    </dataValidation>
    <dataValidation type="list" allowBlank="1" showInputMessage="1" showErrorMessage="1" promptTitle="Scegliere un circolatore" sqref="G27:J27">
      <formula1>$N$27:$N$29</formula1>
    </dataValidation>
    <dataValidation type="list" allowBlank="1" showInputMessage="1" showErrorMessage="1" sqref="G38">
      <formula1>$N$38:$N$40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>
      <selection activeCell="G10" sqref="G10:J10"/>
    </sheetView>
  </sheetViews>
  <sheetFormatPr defaultRowHeight="15" x14ac:dyDescent="0.25"/>
  <cols>
    <col min="1" max="1" width="1.42578125" customWidth="1"/>
    <col min="4" max="4" width="11.42578125" customWidth="1"/>
    <col min="5" max="5" width="17.85546875" customWidth="1"/>
    <col min="6" max="6" width="5.7109375" style="1" customWidth="1"/>
    <col min="7" max="7" width="5" customWidth="1"/>
    <col min="8" max="8" width="7.85546875" customWidth="1"/>
    <col min="9" max="9" width="7.28515625" style="1" customWidth="1"/>
    <col min="10" max="10" width="7.85546875" style="1" customWidth="1"/>
    <col min="11" max="11" width="9.7109375" style="29" bestFit="1" customWidth="1"/>
    <col min="12" max="12" width="3.85546875" bestFit="1" customWidth="1"/>
    <col min="13" max="13" width="1.42578125" customWidth="1"/>
    <col min="14" max="14" width="34.5703125" style="11" hidden="1" customWidth="1"/>
    <col min="15" max="15" width="4" style="11" hidden="1" customWidth="1"/>
    <col min="16" max="16" width="11.28515625" style="12" hidden="1" customWidth="1"/>
    <col min="17" max="17" width="12.42578125" style="12" hidden="1" customWidth="1"/>
    <col min="18" max="21" width="11.28515625" style="12" hidden="1" customWidth="1"/>
    <col min="22" max="24" width="14.140625" style="12" hidden="1" customWidth="1"/>
  </cols>
  <sheetData>
    <row r="1" spans="1:24" ht="75.75" customHeight="1" x14ac:dyDescent="0.35">
      <c r="A1" s="3"/>
      <c r="B1" s="82" t="s">
        <v>77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6"/>
    </row>
    <row r="2" spans="1:24" ht="188.25" customHeight="1" x14ac:dyDescent="0.25">
      <c r="A2" s="7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3"/>
    </row>
    <row r="3" spans="1:24" s="9" customFormat="1" ht="11.25" customHeight="1" x14ac:dyDescent="0.25">
      <c r="A3" s="7"/>
      <c r="F3" s="77"/>
      <c r="I3" s="77"/>
      <c r="J3" s="77"/>
      <c r="K3" s="27"/>
      <c r="M3" s="13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</row>
    <row r="4" spans="1:24" ht="10.5" customHeight="1" x14ac:dyDescent="0.25">
      <c r="A4" s="7"/>
      <c r="B4" s="9"/>
      <c r="C4" s="9"/>
      <c r="D4" s="9"/>
      <c r="E4" s="9"/>
      <c r="F4" s="77"/>
      <c r="G4" s="9"/>
      <c r="H4" s="9"/>
      <c r="I4" s="77"/>
      <c r="J4" s="77"/>
      <c r="K4" s="27"/>
      <c r="L4" s="9"/>
      <c r="M4" s="13"/>
    </row>
    <row r="5" spans="1:24" x14ac:dyDescent="0.25">
      <c r="A5" s="7"/>
      <c r="B5" s="24"/>
      <c r="C5" s="9"/>
      <c r="D5" s="9"/>
      <c r="E5" s="9"/>
      <c r="F5" s="77"/>
      <c r="G5" s="9"/>
      <c r="H5" s="9"/>
      <c r="I5" s="77"/>
      <c r="J5" s="77"/>
      <c r="K5" s="38"/>
      <c r="L5" s="24"/>
      <c r="M5" s="13"/>
      <c r="R5" s="79" t="s">
        <v>29</v>
      </c>
      <c r="S5" s="83" t="s">
        <v>25</v>
      </c>
      <c r="T5" s="83"/>
      <c r="U5" s="83"/>
      <c r="V5" s="84" t="s">
        <v>27</v>
      </c>
      <c r="W5" s="84"/>
      <c r="X5" s="84"/>
    </row>
    <row r="6" spans="1:24" x14ac:dyDescent="0.25">
      <c r="A6" s="7"/>
      <c r="B6" s="9"/>
      <c r="C6" s="9"/>
      <c r="D6" s="9"/>
      <c r="E6" s="9"/>
      <c r="F6" s="77"/>
      <c r="G6" s="9"/>
      <c r="H6" s="9"/>
      <c r="I6" s="77"/>
      <c r="J6" s="77"/>
      <c r="K6" s="27"/>
      <c r="L6" s="9"/>
      <c r="M6" s="13"/>
      <c r="R6" s="79" t="s">
        <v>31</v>
      </c>
      <c r="S6" s="83" t="s">
        <v>26</v>
      </c>
      <c r="T6" s="83"/>
      <c r="U6" s="83"/>
      <c r="V6" s="84" t="s">
        <v>28</v>
      </c>
      <c r="W6" s="84"/>
      <c r="X6" s="84"/>
    </row>
    <row r="7" spans="1:24" ht="10.5" customHeight="1" x14ac:dyDescent="0.25">
      <c r="A7" s="20"/>
      <c r="B7" s="21"/>
      <c r="C7" s="21"/>
      <c r="D7" s="21"/>
      <c r="E7" s="21"/>
      <c r="F7" s="72"/>
      <c r="G7" s="21"/>
      <c r="H7" s="21"/>
      <c r="I7" s="72"/>
      <c r="J7" s="72"/>
      <c r="K7" s="28"/>
      <c r="L7" s="21"/>
      <c r="M7" s="23"/>
      <c r="R7" s="83" t="s">
        <v>30</v>
      </c>
      <c r="S7" s="93" t="s">
        <v>22</v>
      </c>
      <c r="T7" s="93" t="s">
        <v>23</v>
      </c>
      <c r="U7" s="93" t="s">
        <v>24</v>
      </c>
      <c r="V7" s="88" t="s">
        <v>22</v>
      </c>
      <c r="W7" s="88" t="s">
        <v>23</v>
      </c>
      <c r="X7" s="88" t="s">
        <v>24</v>
      </c>
    </row>
    <row r="8" spans="1:24" s="9" customFormat="1" ht="11.25" customHeight="1" x14ac:dyDescent="0.25">
      <c r="F8" s="77"/>
      <c r="I8" s="77"/>
      <c r="J8" s="77"/>
      <c r="K8" s="27"/>
      <c r="N8" s="11"/>
      <c r="O8" s="11"/>
      <c r="P8" s="12"/>
      <c r="Q8" s="12"/>
      <c r="R8" s="83"/>
      <c r="S8" s="93"/>
      <c r="T8" s="93"/>
      <c r="U8" s="93"/>
      <c r="V8" s="88"/>
      <c r="W8" s="88"/>
      <c r="X8" s="88"/>
    </row>
    <row r="9" spans="1:24" ht="10.5" customHeight="1" x14ac:dyDescent="0.25">
      <c r="A9" s="3"/>
      <c r="B9" s="4"/>
      <c r="C9" s="4"/>
      <c r="D9" s="4"/>
      <c r="E9" s="4"/>
      <c r="F9" s="5"/>
      <c r="G9" s="4"/>
      <c r="H9" s="4"/>
      <c r="I9" s="5"/>
      <c r="J9" s="5"/>
      <c r="K9" s="30"/>
      <c r="L9" s="4"/>
      <c r="M9" s="6"/>
      <c r="Q9" s="62"/>
      <c r="R9" s="52"/>
      <c r="S9" s="52"/>
      <c r="T9" s="52"/>
      <c r="U9" s="52"/>
    </row>
    <row r="10" spans="1:24" ht="15.75" x14ac:dyDescent="0.25">
      <c r="A10" s="7"/>
      <c r="B10" s="8"/>
      <c r="C10" s="9"/>
      <c r="D10" s="9"/>
      <c r="E10" s="9"/>
      <c r="F10" s="77"/>
      <c r="G10" s="89" t="s">
        <v>70</v>
      </c>
      <c r="H10" s="89"/>
      <c r="I10" s="89"/>
      <c r="J10" s="89"/>
      <c r="K10" s="27"/>
      <c r="L10" s="9"/>
      <c r="M10" s="13"/>
      <c r="N10" s="56" t="s">
        <v>70</v>
      </c>
      <c r="O10" s="11">
        <f>IF(G10=N10,1,0)</f>
        <v>1</v>
      </c>
      <c r="P10" s="12" t="s">
        <v>12</v>
      </c>
      <c r="Q10" s="49">
        <v>8</v>
      </c>
      <c r="R10" s="52">
        <v>2.6</v>
      </c>
      <c r="S10" s="75">
        <v>2972</v>
      </c>
      <c r="T10" s="75">
        <v>2421</v>
      </c>
      <c r="U10" s="75">
        <v>2161</v>
      </c>
      <c r="V10" s="54">
        <f>S10*$G22/860</f>
        <v>69.116279069767444</v>
      </c>
      <c r="W10" s="54">
        <f>T10*$G22/860</f>
        <v>56.302325581395351</v>
      </c>
      <c r="X10" s="54">
        <f>U10*$G22/860</f>
        <v>50.255813953488371</v>
      </c>
    </row>
    <row r="11" spans="1:24" s="2" customFormat="1" ht="15.75" hidden="1" x14ac:dyDescent="0.25">
      <c r="A11" s="42"/>
      <c r="B11" s="45"/>
      <c r="C11" s="11"/>
      <c r="D11" s="11"/>
      <c r="E11" s="11"/>
      <c r="F11" s="12"/>
      <c r="G11" s="12"/>
      <c r="H11" s="11"/>
      <c r="I11" s="12"/>
      <c r="J11" s="12"/>
      <c r="K11" s="11"/>
      <c r="L11" s="11"/>
      <c r="M11" s="43"/>
      <c r="N11" s="56" t="s">
        <v>71</v>
      </c>
      <c r="O11" s="11">
        <f>IF(G10=N11,1,0)</f>
        <v>0</v>
      </c>
      <c r="P11" s="12" t="s">
        <v>12</v>
      </c>
      <c r="Q11" s="49">
        <v>6</v>
      </c>
      <c r="R11" s="52">
        <v>4.0999999999999996</v>
      </c>
      <c r="S11" s="75">
        <v>2284</v>
      </c>
      <c r="T11" s="75">
        <v>1770</v>
      </c>
      <c r="U11" s="75">
        <v>1511</v>
      </c>
      <c r="V11" s="54">
        <f>S11*$G22/860</f>
        <v>53.116279069767444</v>
      </c>
      <c r="W11" s="54">
        <f>T11*$G22/860</f>
        <v>41.162790697674417</v>
      </c>
      <c r="X11" s="54">
        <f>U11*$G22/860</f>
        <v>35.139534883720927</v>
      </c>
    </row>
    <row r="12" spans="1:24" s="2" customFormat="1" ht="15.75" hidden="1" x14ac:dyDescent="0.25">
      <c r="A12" s="42"/>
      <c r="B12" s="45"/>
      <c r="C12" s="11"/>
      <c r="D12" s="11"/>
      <c r="E12" s="11"/>
      <c r="F12" s="12"/>
      <c r="G12" s="12"/>
      <c r="H12" s="11"/>
      <c r="I12" s="12"/>
      <c r="J12" s="12"/>
      <c r="K12" s="11"/>
      <c r="L12" s="11"/>
      <c r="M12" s="43"/>
      <c r="N12" s="56" t="s">
        <v>72</v>
      </c>
      <c r="O12" s="11">
        <f>IF(G10=N12,1,0)</f>
        <v>0</v>
      </c>
      <c r="P12" s="12" t="s">
        <v>12</v>
      </c>
      <c r="Q12" s="49">
        <v>2.8</v>
      </c>
      <c r="R12" s="52">
        <v>5</v>
      </c>
      <c r="S12" s="75">
        <v>1408</v>
      </c>
      <c r="T12" s="75">
        <v>1082</v>
      </c>
      <c r="U12" s="75">
        <v>902</v>
      </c>
      <c r="V12" s="54">
        <f>S12*$G22/860</f>
        <v>32.744186046511629</v>
      </c>
      <c r="W12" s="54">
        <f>T12*$G22/860</f>
        <v>25.162790697674417</v>
      </c>
      <c r="X12" s="54">
        <f>U12*$G22/860</f>
        <v>20.976744186046513</v>
      </c>
    </row>
    <row r="13" spans="1:24" s="2" customFormat="1" ht="15.75" hidden="1" x14ac:dyDescent="0.25">
      <c r="A13" s="42"/>
      <c r="B13" s="45"/>
      <c r="C13" s="11"/>
      <c r="D13" s="11"/>
      <c r="E13" s="11"/>
      <c r="F13" s="12"/>
      <c r="G13" s="12"/>
      <c r="H13" s="11"/>
      <c r="I13" s="12"/>
      <c r="J13" s="12"/>
      <c r="K13" s="11"/>
      <c r="L13" s="11"/>
      <c r="M13" s="43"/>
      <c r="N13" s="56" t="s">
        <v>73</v>
      </c>
      <c r="O13" s="11">
        <f>IF(G10=N13,1,0)</f>
        <v>0</v>
      </c>
      <c r="P13" s="12" t="s">
        <v>12</v>
      </c>
      <c r="Q13" s="49">
        <v>4.2</v>
      </c>
      <c r="R13" s="52">
        <v>5</v>
      </c>
      <c r="S13" s="75">
        <v>1757</v>
      </c>
      <c r="T13" s="75">
        <v>1315</v>
      </c>
      <c r="U13" s="75">
        <v>1080</v>
      </c>
      <c r="V13" s="54">
        <f>S13*$G22/860</f>
        <v>40.860465116279073</v>
      </c>
      <c r="W13" s="54">
        <f>T13*$G22/860</f>
        <v>30.581395348837209</v>
      </c>
      <c r="X13" s="54">
        <f>U13*$G22/860</f>
        <v>25.11627906976744</v>
      </c>
    </row>
    <row r="14" spans="1:24" s="2" customFormat="1" ht="15.75" hidden="1" x14ac:dyDescent="0.25">
      <c r="A14" s="42"/>
      <c r="B14" s="45"/>
      <c r="C14" s="11"/>
      <c r="D14" s="11"/>
      <c r="E14" s="11"/>
      <c r="F14" s="12"/>
      <c r="G14" s="12"/>
      <c r="H14" s="11"/>
      <c r="I14" s="12"/>
      <c r="J14" s="12"/>
      <c r="K14" s="11"/>
      <c r="L14" s="11"/>
      <c r="M14" s="43"/>
      <c r="N14" s="56" t="s">
        <v>74</v>
      </c>
      <c r="O14" s="11">
        <f>IF(G10=N14,1,0)</f>
        <v>0</v>
      </c>
      <c r="P14" s="12" t="s">
        <v>12</v>
      </c>
      <c r="Q14" s="49">
        <v>2.8</v>
      </c>
      <c r="R14" s="52">
        <v>5</v>
      </c>
      <c r="S14" s="75">
        <v>1408</v>
      </c>
      <c r="T14" s="75">
        <v>1082</v>
      </c>
      <c r="U14" s="75">
        <v>902</v>
      </c>
      <c r="V14" s="54">
        <f>S14*$G22/860</f>
        <v>32.744186046511629</v>
      </c>
      <c r="W14" s="54">
        <f>T14*$G22/860</f>
        <v>25.162790697674417</v>
      </c>
      <c r="X14" s="54">
        <f>U14*$G22/860</f>
        <v>20.976744186046513</v>
      </c>
    </row>
    <row r="15" spans="1:24" s="2" customFormat="1" ht="15.75" hidden="1" x14ac:dyDescent="0.25">
      <c r="A15" s="42"/>
      <c r="B15" s="45"/>
      <c r="C15" s="11"/>
      <c r="D15" s="11"/>
      <c r="E15" s="11"/>
      <c r="F15" s="12"/>
      <c r="G15" s="12"/>
      <c r="H15" s="11"/>
      <c r="I15" s="12"/>
      <c r="J15" s="12"/>
      <c r="K15" s="11"/>
      <c r="L15" s="11"/>
      <c r="M15" s="43"/>
      <c r="N15" s="56" t="s">
        <v>75</v>
      </c>
      <c r="O15" s="11">
        <f>IF(G10=N15,1,0)</f>
        <v>0</v>
      </c>
      <c r="P15" s="12" t="s">
        <v>12</v>
      </c>
      <c r="Q15" s="49">
        <v>3.8</v>
      </c>
      <c r="R15" s="52">
        <v>5</v>
      </c>
      <c r="S15" s="75">
        <v>1673</v>
      </c>
      <c r="T15" s="75">
        <v>1261</v>
      </c>
      <c r="U15" s="75">
        <v>1039</v>
      </c>
      <c r="V15" s="54">
        <f>S15*$G22/860</f>
        <v>38.906976744186046</v>
      </c>
      <c r="W15" s="54">
        <f>T15*$G22/860</f>
        <v>29.325581395348838</v>
      </c>
      <c r="X15" s="54">
        <f>U15*$G22/860</f>
        <v>24.162790697674417</v>
      </c>
    </row>
    <row r="16" spans="1:24" s="2" customFormat="1" ht="15.75" hidden="1" x14ac:dyDescent="0.25">
      <c r="A16" s="42"/>
      <c r="B16" s="45"/>
      <c r="C16" s="11"/>
      <c r="D16" s="11"/>
      <c r="E16" s="11"/>
      <c r="F16" s="12"/>
      <c r="G16" s="12"/>
      <c r="H16" s="11"/>
      <c r="I16" s="12"/>
      <c r="J16" s="12"/>
      <c r="K16" s="11"/>
      <c r="L16" s="11"/>
      <c r="M16" s="43"/>
      <c r="N16" s="56" t="s">
        <v>42</v>
      </c>
      <c r="O16" s="11">
        <f>IF(G10=N16,1,0)</f>
        <v>0</v>
      </c>
      <c r="P16" s="12" t="s">
        <v>12</v>
      </c>
      <c r="Q16" s="49"/>
      <c r="R16" s="52"/>
      <c r="S16" s="75"/>
      <c r="T16" s="75"/>
      <c r="U16" s="75"/>
      <c r="V16" s="54">
        <f>S16*$G22/860</f>
        <v>0</v>
      </c>
      <c r="W16" s="54">
        <f>T16*$G22/860</f>
        <v>0</v>
      </c>
      <c r="X16" s="54">
        <f>U16*$G22/860</f>
        <v>0</v>
      </c>
    </row>
    <row r="17" spans="1:24" s="2" customFormat="1" ht="15.75" hidden="1" x14ac:dyDescent="0.25">
      <c r="A17" s="42"/>
      <c r="B17" s="45"/>
      <c r="C17" s="11"/>
      <c r="D17" s="11"/>
      <c r="E17" s="11"/>
      <c r="F17" s="12"/>
      <c r="G17" s="12"/>
      <c r="H17" s="11"/>
      <c r="I17" s="12"/>
      <c r="J17" s="12"/>
      <c r="K17" s="11"/>
      <c r="L17" s="11"/>
      <c r="M17" s="43"/>
      <c r="N17" s="56" t="s">
        <v>42</v>
      </c>
      <c r="O17" s="11">
        <f>IF(G10=N17,1,0)</f>
        <v>0</v>
      </c>
      <c r="P17" s="12" t="s">
        <v>12</v>
      </c>
      <c r="Q17" s="49"/>
      <c r="R17" s="52"/>
      <c r="S17" s="75"/>
      <c r="T17" s="75"/>
      <c r="U17" s="75"/>
      <c r="V17" s="54">
        <f>S17*$G22/860</f>
        <v>0</v>
      </c>
      <c r="W17" s="54">
        <f>T17*$G22/860</f>
        <v>0</v>
      </c>
      <c r="X17" s="54">
        <f>U17*$G22/860</f>
        <v>0</v>
      </c>
    </row>
    <row r="18" spans="1:24" s="2" customFormat="1" ht="15.75" hidden="1" x14ac:dyDescent="0.25">
      <c r="A18" s="42"/>
      <c r="B18" s="45"/>
      <c r="C18" s="11"/>
      <c r="D18" s="11"/>
      <c r="E18" s="11"/>
      <c r="F18" s="12"/>
      <c r="G18" s="12"/>
      <c r="H18" s="11"/>
      <c r="I18" s="12"/>
      <c r="J18" s="12"/>
      <c r="K18" s="11"/>
      <c r="L18" s="11"/>
      <c r="M18" s="43"/>
      <c r="N18" s="56" t="s">
        <v>42</v>
      </c>
      <c r="O18" s="11">
        <f>IF(G10=N18,1,0)</f>
        <v>0</v>
      </c>
      <c r="P18" s="12" t="s">
        <v>12</v>
      </c>
      <c r="Q18" s="49"/>
      <c r="R18" s="52"/>
      <c r="S18" s="53"/>
      <c r="T18" s="53"/>
      <c r="U18" s="53"/>
      <c r="V18" s="54">
        <f>S18*$G22/860</f>
        <v>0</v>
      </c>
      <c r="W18" s="54">
        <f t="shared" ref="W18:X18" si="0">T18*$G22/860</f>
        <v>0</v>
      </c>
      <c r="X18" s="54">
        <f t="shared" si="0"/>
        <v>0</v>
      </c>
    </row>
    <row r="19" spans="1:24" s="2" customFormat="1" ht="15.75" hidden="1" x14ac:dyDescent="0.25">
      <c r="A19" s="42"/>
      <c r="B19" s="45"/>
      <c r="C19" s="11"/>
      <c r="D19" s="11"/>
      <c r="E19" s="11"/>
      <c r="F19" s="12"/>
      <c r="G19" s="12"/>
      <c r="H19" s="11"/>
      <c r="I19" s="12"/>
      <c r="J19" s="12"/>
      <c r="K19" s="11"/>
      <c r="L19" s="11"/>
      <c r="M19" s="43"/>
      <c r="N19" s="56" t="s">
        <v>42</v>
      </c>
      <c r="O19" s="11">
        <f>IF(G10=N19,1,0)</f>
        <v>0</v>
      </c>
      <c r="P19" s="12" t="s">
        <v>12</v>
      </c>
      <c r="Q19" s="49"/>
      <c r="R19" s="52"/>
      <c r="S19" s="53"/>
      <c r="T19" s="53"/>
      <c r="U19" s="53"/>
      <c r="V19" s="54">
        <f>S19*$G22/860</f>
        <v>0</v>
      </c>
      <c r="W19" s="54">
        <f t="shared" ref="W19:X19" si="1">T19*$G22/860</f>
        <v>0</v>
      </c>
      <c r="X19" s="54">
        <f t="shared" si="1"/>
        <v>0</v>
      </c>
    </row>
    <row r="20" spans="1:24" ht="8.25" customHeight="1" x14ac:dyDescent="0.3">
      <c r="A20" s="7"/>
      <c r="B20" s="9"/>
      <c r="C20" s="9"/>
      <c r="D20" s="9"/>
      <c r="E20" s="9"/>
      <c r="F20" s="41"/>
      <c r="G20" s="41"/>
      <c r="H20" s="41"/>
      <c r="I20" s="41"/>
      <c r="J20" s="41"/>
      <c r="K20" s="27"/>
      <c r="L20" s="9"/>
      <c r="M20" s="13"/>
      <c r="N20" s="57"/>
    </row>
    <row r="21" spans="1:24" x14ac:dyDescent="0.25">
      <c r="A21" s="7"/>
      <c r="B21" s="9"/>
      <c r="C21" s="9"/>
      <c r="D21" s="9"/>
      <c r="E21" s="9"/>
      <c r="F21" s="77"/>
      <c r="G21" s="77"/>
      <c r="H21" s="90"/>
      <c r="I21" s="90"/>
      <c r="J21" s="90"/>
      <c r="K21" s="90"/>
      <c r="L21" s="90"/>
      <c r="M21" s="13"/>
    </row>
    <row r="22" spans="1:24" x14ac:dyDescent="0.25">
      <c r="A22" s="7"/>
      <c r="B22" s="9" t="s">
        <v>46</v>
      </c>
      <c r="C22" s="9"/>
      <c r="D22" s="9"/>
      <c r="E22" s="9"/>
      <c r="F22" s="77"/>
      <c r="G22" s="69">
        <v>20</v>
      </c>
      <c r="H22" s="9" t="s">
        <v>1</v>
      </c>
      <c r="I22" s="77"/>
      <c r="J22" s="77"/>
      <c r="K22" s="27"/>
      <c r="L22" s="9"/>
      <c r="M22" s="13"/>
      <c r="N22" s="58"/>
    </row>
    <row r="23" spans="1:24" ht="15.75" x14ac:dyDescent="0.25">
      <c r="A23" s="7"/>
      <c r="B23" s="9" t="s">
        <v>47</v>
      </c>
      <c r="C23" s="9"/>
      <c r="D23" s="9"/>
      <c r="E23" s="9"/>
      <c r="F23" s="77"/>
      <c r="G23" s="69">
        <v>2150</v>
      </c>
      <c r="H23" s="26" t="s">
        <v>2</v>
      </c>
      <c r="I23" s="25"/>
      <c r="J23" s="25"/>
      <c r="K23" s="60"/>
      <c r="L23" s="33"/>
      <c r="M23" s="13"/>
      <c r="N23" s="58"/>
      <c r="P23" s="80"/>
      <c r="Q23" s="14"/>
      <c r="R23" s="14"/>
      <c r="S23" s="14"/>
      <c r="T23" s="14"/>
      <c r="U23" s="14"/>
      <c r="V23" s="14"/>
      <c r="W23" s="14"/>
      <c r="X23" s="14"/>
    </row>
    <row r="24" spans="1:24" x14ac:dyDescent="0.25">
      <c r="A24" s="7"/>
      <c r="B24" s="9"/>
      <c r="C24" s="9"/>
      <c r="D24" s="9"/>
      <c r="E24" s="9"/>
      <c r="F24" s="77"/>
      <c r="G24" s="9"/>
      <c r="H24" s="9"/>
      <c r="I24" s="77"/>
      <c r="J24" s="77"/>
      <c r="K24" s="27"/>
      <c r="L24" s="15"/>
      <c r="M24" s="13"/>
      <c r="N24" s="58"/>
    </row>
    <row r="25" spans="1:24" ht="15.75" x14ac:dyDescent="0.25">
      <c r="A25" s="7"/>
      <c r="B25" s="16" t="s">
        <v>82</v>
      </c>
      <c r="C25" s="9"/>
      <c r="D25" s="9"/>
      <c r="E25" s="38">
        <f>G23*G22/860</f>
        <v>50</v>
      </c>
      <c r="F25" s="24" t="s">
        <v>0</v>
      </c>
      <c r="H25" s="81" t="s">
        <v>48</v>
      </c>
      <c r="I25" s="63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50.255813953488371</v>
      </c>
      <c r="J25" s="66" t="s">
        <v>15</v>
      </c>
      <c r="K25" s="38"/>
      <c r="L25" s="24"/>
      <c r="M25" s="13"/>
      <c r="N25" s="64">
        <f>E25/I25-1</f>
        <v>-5.0902360018509896E-3</v>
      </c>
      <c r="P25" s="36"/>
      <c r="Q25" s="32"/>
      <c r="S25" s="80" t="s">
        <v>10</v>
      </c>
      <c r="T25" s="80" t="s">
        <v>11</v>
      </c>
      <c r="U25" s="80"/>
    </row>
    <row r="26" spans="1:24" x14ac:dyDescent="0.25">
      <c r="A26" s="7"/>
      <c r="B26" s="27"/>
      <c r="C26" s="9"/>
      <c r="D26" s="9"/>
      <c r="E26" s="9"/>
      <c r="F26" s="77"/>
      <c r="G26" s="9"/>
      <c r="H26" s="9"/>
      <c r="I26" s="77"/>
      <c r="J26" s="77"/>
      <c r="K26" s="27"/>
      <c r="L26" s="9"/>
      <c r="M26" s="13"/>
      <c r="P26" s="80" t="s">
        <v>8</v>
      </c>
      <c r="Q26" s="80" t="s">
        <v>7</v>
      </c>
      <c r="R26" s="80" t="s">
        <v>6</v>
      </c>
      <c r="S26" s="80" t="s">
        <v>9</v>
      </c>
      <c r="T26" s="80" t="s">
        <v>9</v>
      </c>
      <c r="U26" s="80"/>
      <c r="V26" s="80" t="s">
        <v>4</v>
      </c>
      <c r="W26" s="80" t="s">
        <v>5</v>
      </c>
      <c r="X26" s="80"/>
    </row>
    <row r="27" spans="1:24" x14ac:dyDescent="0.25">
      <c r="A27" s="7"/>
      <c r="B27" s="9" t="s">
        <v>49</v>
      </c>
      <c r="C27" s="9"/>
      <c r="D27" s="9"/>
      <c r="E27" s="9"/>
      <c r="F27" s="77"/>
      <c r="G27" s="91" t="s">
        <v>45</v>
      </c>
      <c r="H27" s="91"/>
      <c r="I27" s="91"/>
      <c r="J27" s="91"/>
      <c r="K27" s="27"/>
      <c r="L27" s="9"/>
      <c r="M27" s="13"/>
      <c r="N27" s="11" t="s">
        <v>43</v>
      </c>
      <c r="O27" s="11">
        <f>IF(N27=G27,1,0)</f>
        <v>0</v>
      </c>
      <c r="P27" s="12" t="str">
        <f>IF(O27=1,1,"")</f>
        <v/>
      </c>
      <c r="Q27" s="12" t="str">
        <f>IF(O27=1,IF(G23&gt;=R27,2,1),"")</f>
        <v/>
      </c>
      <c r="R27" s="62">
        <v>1400</v>
      </c>
      <c r="S27" s="62">
        <v>-2.2857099999999998E-3</v>
      </c>
      <c r="T27" s="62">
        <v>10.8</v>
      </c>
      <c r="V27" s="62">
        <v>7.6</v>
      </c>
      <c r="W27" s="12">
        <f>G23*S27+T27</f>
        <v>5.885723500000001</v>
      </c>
    </row>
    <row r="28" spans="1:24" s="2" customFormat="1" hidden="1" x14ac:dyDescent="0.25">
      <c r="A28" s="42"/>
      <c r="B28" s="11"/>
      <c r="C28" s="11"/>
      <c r="D28" s="11"/>
      <c r="E28" s="11"/>
      <c r="F28" s="12"/>
      <c r="G28" s="12"/>
      <c r="H28" s="11"/>
      <c r="I28" s="12"/>
      <c r="J28" s="12"/>
      <c r="K28" s="11"/>
      <c r="L28" s="11"/>
      <c r="M28" s="43"/>
      <c r="N28" s="11" t="s">
        <v>44</v>
      </c>
      <c r="O28" s="11">
        <f>IF(N28=G27,1,0)</f>
        <v>0</v>
      </c>
      <c r="P28" s="12" t="str">
        <f>IF(O28=1,2,"")</f>
        <v/>
      </c>
      <c r="Q28" s="12" t="str">
        <f>IF(O28=1,IF(G23&gt;=R28,2,1),"")</f>
        <v/>
      </c>
      <c r="R28" s="62">
        <v>800</v>
      </c>
      <c r="S28" s="62">
        <v>-2.23077E-3</v>
      </c>
      <c r="T28" s="62">
        <v>8.9350000000000005</v>
      </c>
      <c r="U28" s="12"/>
      <c r="V28" s="62">
        <v>7.15</v>
      </c>
      <c r="W28" s="12">
        <f>G23*S28+T28</f>
        <v>4.1388445000000003</v>
      </c>
      <c r="X28" s="12"/>
    </row>
    <row r="29" spans="1:24" s="2" customFormat="1" hidden="1" x14ac:dyDescent="0.25">
      <c r="A29" s="42"/>
      <c r="B29" s="11"/>
      <c r="C29" s="11"/>
      <c r="D29" s="11"/>
      <c r="E29" s="11"/>
      <c r="F29" s="12"/>
      <c r="G29" s="12"/>
      <c r="H29" s="11"/>
      <c r="I29" s="12"/>
      <c r="J29" s="12"/>
      <c r="K29" s="11"/>
      <c r="L29" s="11"/>
      <c r="M29" s="43"/>
      <c r="N29" s="11" t="s">
        <v>45</v>
      </c>
      <c r="O29" s="11">
        <f>IF(N29=G27,1,0)</f>
        <v>1</v>
      </c>
      <c r="P29" s="12">
        <f>IF(O29=1,3,"")</f>
        <v>3</v>
      </c>
      <c r="Q29" s="12">
        <f>IF(O29=1,IF(G23&gt;=R29,2,1),"")</f>
        <v>2</v>
      </c>
      <c r="R29" s="62">
        <v>800</v>
      </c>
      <c r="S29" s="62">
        <v>-2.1538400000000002E-3</v>
      </c>
      <c r="T29" s="62">
        <v>8</v>
      </c>
      <c r="U29" s="12"/>
      <c r="V29" s="62">
        <v>6.3</v>
      </c>
      <c r="W29" s="12">
        <f>G23*S29+T29</f>
        <v>3.3692439999999992</v>
      </c>
      <c r="X29" s="12"/>
    </row>
    <row r="30" spans="1:24" s="2" customFormat="1" ht="18.75" hidden="1" x14ac:dyDescent="0.3">
      <c r="A30" s="42"/>
      <c r="B30" s="11"/>
      <c r="C30" s="11"/>
      <c r="D30" s="11"/>
      <c r="E30" s="11"/>
      <c r="F30" s="44"/>
      <c r="G30" s="44"/>
      <c r="H30" s="44"/>
      <c r="I30" s="44"/>
      <c r="J30" s="44"/>
      <c r="K30" s="11"/>
      <c r="L30" s="11"/>
      <c r="M30" s="43"/>
      <c r="N30" s="57"/>
      <c r="O30" s="11">
        <f>SUM(O27:O29)</f>
        <v>1</v>
      </c>
      <c r="P30" s="12">
        <f>SUM(P27:P29)</f>
        <v>3</v>
      </c>
      <c r="Q30" s="12">
        <f>SUM(Q27:Q29)</f>
        <v>2</v>
      </c>
      <c r="R30" s="12"/>
      <c r="S30" s="12"/>
      <c r="T30" s="12"/>
      <c r="U30" s="12"/>
      <c r="V30" s="12"/>
      <c r="W30" s="12"/>
      <c r="X30" s="12"/>
    </row>
    <row r="31" spans="1:24" ht="8.25" customHeight="1" x14ac:dyDescent="0.25">
      <c r="A31" s="7"/>
      <c r="B31" s="9"/>
      <c r="C31" s="9"/>
      <c r="D31" s="9"/>
      <c r="E31" s="9"/>
      <c r="F31" s="77"/>
      <c r="G31" s="9"/>
      <c r="H31" s="9"/>
      <c r="I31" s="77"/>
      <c r="J31" s="77"/>
      <c r="K31" s="27"/>
      <c r="L31" s="9"/>
      <c r="M31" s="13"/>
    </row>
    <row r="32" spans="1:24" x14ac:dyDescent="0.25">
      <c r="A32" s="7"/>
      <c r="B32" s="9"/>
      <c r="C32" s="9"/>
      <c r="D32" s="9"/>
      <c r="E32" s="9"/>
      <c r="F32" s="77"/>
      <c r="G32" s="9"/>
      <c r="H32" s="17" t="s">
        <v>50</v>
      </c>
      <c r="I32" s="34">
        <f>IF(O30=1,IF(AND(P30=1,Q30=1),V27,IF(AND(P30=1,Q30=2),W27,IF(AND(P30=2,Q30=1),V28,IF(AND(P30=2,Q30=2),W28,IF(AND(P30=3,Q30=1),V29,IF(AND(P30=3,Q30=2),W29,"Errore")))))),"- -")</f>
        <v>3.3692439999999992</v>
      </c>
      <c r="J32" s="9" t="s">
        <v>3</v>
      </c>
      <c r="K32" s="27"/>
      <c r="L32" s="9"/>
      <c r="M32" s="13"/>
    </row>
    <row r="33" spans="1:24" x14ac:dyDescent="0.25">
      <c r="A33" s="7"/>
      <c r="B33" s="9"/>
      <c r="C33" s="9"/>
      <c r="D33" s="9"/>
      <c r="E33" s="9"/>
      <c r="F33" s="77"/>
      <c r="G33" s="9"/>
      <c r="H33" s="17" t="s">
        <v>51</v>
      </c>
      <c r="I33" s="34">
        <f>IF(O30=1,IF(S33&lt;0.2,0.2,S33),"- -")</f>
        <v>0.73656648437499994</v>
      </c>
      <c r="J33" s="9" t="s">
        <v>3</v>
      </c>
      <c r="K33" s="27"/>
      <c r="L33" s="9"/>
      <c r="M33" s="13"/>
      <c r="P33" s="12" t="s">
        <v>12</v>
      </c>
      <c r="Q33" s="32">
        <f>IF(O10=1,Q10,IF(O11=1,Q11,IF(O12=1,Q12,IF(O13=1,Q13,IF(O14=1,Q14,IF(O15=1,Q15,IF(O16=1,Q16,IF(O17=1,Q17,IF(O17=1,Q17,IF(O18=1,Q18,IF(O19=1,Q19,"Errore!")))))))))))</f>
        <v>8</v>
      </c>
      <c r="R33" s="36" t="s">
        <v>13</v>
      </c>
      <c r="S33" s="12">
        <f>(G23/1000/Q33)^2*10.198</f>
        <v>0.73656648437499994</v>
      </c>
    </row>
    <row r="34" spans="1:24" ht="15.75" x14ac:dyDescent="0.25">
      <c r="A34" s="7"/>
      <c r="B34" s="9"/>
      <c r="C34" s="9"/>
      <c r="D34" s="9"/>
      <c r="E34" s="9"/>
      <c r="F34" s="77"/>
      <c r="G34" s="9"/>
      <c r="H34" s="18" t="s">
        <v>52</v>
      </c>
      <c r="I34" s="31">
        <f>IF(O30=1,I32-I33,"- -")</f>
        <v>2.6326775156249993</v>
      </c>
      <c r="J34" s="19" t="s">
        <v>3</v>
      </c>
      <c r="K34" s="55"/>
      <c r="L34" s="9"/>
      <c r="M34" s="13"/>
      <c r="N34" s="40"/>
    </row>
    <row r="35" spans="1:24" ht="9" customHeight="1" x14ac:dyDescent="0.25">
      <c r="A35" s="7"/>
      <c r="B35" s="9"/>
      <c r="C35" s="9"/>
      <c r="D35" s="9"/>
      <c r="E35" s="9"/>
      <c r="F35" s="77"/>
      <c r="G35" s="9"/>
      <c r="H35" s="18"/>
      <c r="I35" s="31"/>
      <c r="J35" s="19"/>
      <c r="K35" s="27"/>
      <c r="L35" s="9"/>
      <c r="M35" s="13"/>
      <c r="N35" s="40"/>
    </row>
    <row r="36" spans="1:24" ht="15.75" x14ac:dyDescent="0.25">
      <c r="A36" s="7"/>
      <c r="B36" s="16" t="str">
        <f>IF(G22&lt;=12,"Underfoor calculation:","Underfoor calculation not available if Δt &gt; 12 K")</f>
        <v>Underfoor calculation not available if Δt &gt; 12 K</v>
      </c>
      <c r="C36" s="9"/>
      <c r="D36" s="9"/>
      <c r="E36" s="9"/>
      <c r="F36" s="77"/>
      <c r="G36" s="9"/>
      <c r="H36" s="18"/>
      <c r="I36" s="31"/>
      <c r="J36" s="19"/>
      <c r="K36" s="27"/>
      <c r="L36" s="9"/>
      <c r="M36" s="13"/>
      <c r="N36" s="40"/>
      <c r="S36" s="74" t="s">
        <v>41</v>
      </c>
    </row>
    <row r="37" spans="1:24" ht="9" customHeight="1" x14ac:dyDescent="0.25">
      <c r="A37" s="7"/>
      <c r="B37" s="9"/>
      <c r="C37" s="9"/>
      <c r="D37" s="9"/>
      <c r="E37" s="9"/>
      <c r="F37" s="77"/>
      <c r="G37" s="9"/>
      <c r="H37" s="18"/>
      <c r="I37" s="31"/>
      <c r="J37" s="19"/>
      <c r="K37" s="27"/>
      <c r="L37" s="9"/>
      <c r="M37" s="13"/>
      <c r="N37" s="40"/>
      <c r="S37" s="73"/>
    </row>
    <row r="38" spans="1:24" x14ac:dyDescent="0.25">
      <c r="A38" s="7"/>
      <c r="B38" s="9" t="s">
        <v>53</v>
      </c>
      <c r="C38" s="9"/>
      <c r="D38" s="9"/>
      <c r="E38" s="9"/>
      <c r="F38" s="17"/>
      <c r="G38" s="78" t="s">
        <v>20</v>
      </c>
      <c r="H38" s="9"/>
      <c r="I38" s="46" t="str">
        <f>IF(G22&gt;12,"","Use Δt=")</f>
        <v/>
      </c>
      <c r="J38" s="19" t="str">
        <f>IF(G22&gt;12,"",IF(G38=N38,P38,IF(G38=N39,P39,IF(G38=N40,P40,""))))</f>
        <v/>
      </c>
      <c r="K38" s="27"/>
      <c r="L38" s="9"/>
      <c r="M38" s="13"/>
      <c r="N38" s="32" t="s">
        <v>19</v>
      </c>
      <c r="O38" s="11">
        <f>IF(N38=G38,1,0)</f>
        <v>0</v>
      </c>
      <c r="P38" s="12" t="s">
        <v>16</v>
      </c>
      <c r="Q38" s="39">
        <f>T38*S38</f>
        <v>34.375</v>
      </c>
      <c r="R38" s="32" t="s">
        <v>14</v>
      </c>
      <c r="S38" s="73">
        <v>1.375</v>
      </c>
      <c r="T38" s="50">
        <v>25</v>
      </c>
      <c r="U38" s="35"/>
      <c r="V38" s="32" t="s">
        <v>14</v>
      </c>
    </row>
    <row r="39" spans="1:24" s="2" customFormat="1" ht="15.75" hidden="1" x14ac:dyDescent="0.25">
      <c r="A39" s="42"/>
      <c r="B39" s="11"/>
      <c r="C39" s="11"/>
      <c r="D39" s="11"/>
      <c r="E39" s="11"/>
      <c r="F39" s="35"/>
      <c r="G39" s="47"/>
      <c r="H39" s="48"/>
      <c r="I39" s="47"/>
      <c r="J39" s="40"/>
      <c r="K39" s="11"/>
      <c r="L39" s="11"/>
      <c r="M39" s="43"/>
      <c r="N39" s="32" t="s">
        <v>20</v>
      </c>
      <c r="O39" s="11">
        <f>IF(N39=G38,1,0)</f>
        <v>1</v>
      </c>
      <c r="P39" s="12" t="s">
        <v>17</v>
      </c>
      <c r="Q39" s="39">
        <f>T39*S39</f>
        <v>110</v>
      </c>
      <c r="R39" s="32" t="s">
        <v>14</v>
      </c>
      <c r="S39" s="73">
        <v>1.375</v>
      </c>
      <c r="T39" s="51">
        <v>80</v>
      </c>
      <c r="U39" s="39"/>
      <c r="V39" s="32" t="s">
        <v>14</v>
      </c>
      <c r="W39" s="12"/>
      <c r="X39" s="12"/>
    </row>
    <row r="40" spans="1:24" s="2" customFormat="1" ht="15.75" hidden="1" x14ac:dyDescent="0.25">
      <c r="A40" s="42"/>
      <c r="B40" s="11"/>
      <c r="C40" s="11"/>
      <c r="D40" s="11"/>
      <c r="E40" s="11"/>
      <c r="F40" s="35"/>
      <c r="G40" s="47"/>
      <c r="H40" s="48"/>
      <c r="I40" s="47"/>
      <c r="J40" s="40"/>
      <c r="K40" s="11"/>
      <c r="L40" s="11"/>
      <c r="M40" s="43"/>
      <c r="N40" s="32" t="s">
        <v>21</v>
      </c>
      <c r="O40" s="11">
        <f>IF(N40=G38,1,0)</f>
        <v>0</v>
      </c>
      <c r="P40" s="12" t="s">
        <v>18</v>
      </c>
      <c r="Q40" s="39">
        <f>T40*S40</f>
        <v>192.5</v>
      </c>
      <c r="R40" s="32" t="s">
        <v>14</v>
      </c>
      <c r="S40" s="73">
        <v>1.375</v>
      </c>
      <c r="T40" s="50">
        <v>140</v>
      </c>
      <c r="U40" s="35"/>
      <c r="V40" s="32" t="s">
        <v>14</v>
      </c>
      <c r="W40" s="12"/>
      <c r="X40" s="12"/>
    </row>
    <row r="41" spans="1:24" s="2" customFormat="1" ht="18.75" hidden="1" x14ac:dyDescent="0.3">
      <c r="A41" s="42"/>
      <c r="B41" s="11"/>
      <c r="C41" s="11"/>
      <c r="D41" s="11"/>
      <c r="E41" s="11"/>
      <c r="F41" s="44"/>
      <c r="G41" s="44"/>
      <c r="H41" s="44"/>
      <c r="I41" s="44"/>
      <c r="J41" s="44"/>
      <c r="K41" s="11"/>
      <c r="L41" s="11"/>
      <c r="M41" s="43"/>
      <c r="N41" s="57"/>
      <c r="O41" s="11">
        <f>SUM(O38:O40)</f>
        <v>1</v>
      </c>
      <c r="P41" s="12">
        <f>SUM(P38:P40)</f>
        <v>0</v>
      </c>
      <c r="Q41" s="35"/>
      <c r="R41" s="12"/>
      <c r="S41" s="12"/>
      <c r="T41" s="12"/>
      <c r="U41" s="12"/>
      <c r="V41" s="12"/>
      <c r="W41" s="12"/>
      <c r="X41" s="12"/>
    </row>
    <row r="42" spans="1:24" ht="9" customHeight="1" x14ac:dyDescent="0.25">
      <c r="A42" s="7"/>
      <c r="B42" s="9"/>
      <c r="C42" s="9"/>
      <c r="D42" s="9"/>
      <c r="E42" s="9"/>
      <c r="F42" s="77"/>
      <c r="G42" s="9"/>
      <c r="H42" s="18"/>
      <c r="I42" s="31"/>
      <c r="J42" s="19"/>
      <c r="K42" s="27"/>
      <c r="L42" s="9"/>
      <c r="M42" s="13"/>
      <c r="N42" s="40"/>
    </row>
    <row r="43" spans="1:24" ht="44.25" customHeight="1" x14ac:dyDescent="0.25">
      <c r="A43" s="7"/>
      <c r="B43" s="92" t="str">
        <f>IF(G22&gt;12,"","Maximum surface of the underfloor installation manageable by each pump unit, with a heat drop proportionate to the selected class of insulation:")</f>
        <v/>
      </c>
      <c r="C43" s="92"/>
      <c r="D43" s="92"/>
      <c r="E43" s="92"/>
      <c r="F43" s="92"/>
      <c r="G43" s="92"/>
      <c r="H43" s="92"/>
      <c r="I43" s="61" t="str">
        <f>IF(G22&gt;12,"",IF(G22&lt;=12,IF(O38=1,E25*1000/Q38,IF(O39=1,E25*1000/Q39,IF(O40=1,E25*1000/Q40,"- -"))),"- - "))</f>
        <v/>
      </c>
      <c r="J43" s="37" t="str">
        <f>IF(G22&gt;12,"","m2")</f>
        <v/>
      </c>
      <c r="K43" s="27"/>
      <c r="L43" s="9"/>
      <c r="M43" s="13"/>
      <c r="N43" s="59"/>
      <c r="Q43" s="35"/>
    </row>
    <row r="44" spans="1:24" ht="10.5" customHeight="1" x14ac:dyDescent="0.25">
      <c r="A44" s="20"/>
      <c r="B44" s="21"/>
      <c r="C44" s="21"/>
      <c r="D44" s="21"/>
      <c r="E44" s="21"/>
      <c r="F44" s="72"/>
      <c r="G44" s="21"/>
      <c r="H44" s="21"/>
      <c r="I44" s="72"/>
      <c r="J44" s="72"/>
      <c r="K44" s="28"/>
      <c r="L44" s="21"/>
      <c r="M44" s="23"/>
    </row>
    <row r="45" spans="1:24" s="9" customFormat="1" ht="11.25" customHeight="1" x14ac:dyDescent="0.25">
      <c r="F45" s="77"/>
      <c r="I45" s="77"/>
      <c r="J45" s="77"/>
      <c r="K45" s="27"/>
      <c r="N45" s="11"/>
      <c r="O45" s="11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0.5" customHeight="1" x14ac:dyDescent="0.25">
      <c r="A46" s="3"/>
      <c r="B46" s="4"/>
      <c r="C46" s="4"/>
      <c r="D46" s="4"/>
      <c r="E46" s="4"/>
      <c r="F46" s="5"/>
      <c r="G46" s="4"/>
      <c r="H46" s="4"/>
      <c r="I46" s="5"/>
      <c r="J46" s="5"/>
      <c r="K46" s="30"/>
      <c r="L46" s="4"/>
      <c r="M46" s="6"/>
    </row>
    <row r="47" spans="1:24" ht="18.75" customHeight="1" x14ac:dyDescent="0.25">
      <c r="A47" s="7"/>
      <c r="B47" s="71" t="s">
        <v>32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13"/>
      <c r="N47" s="40"/>
    </row>
    <row r="48" spans="1:24" ht="30" customHeight="1" x14ac:dyDescent="0.25">
      <c r="A48" s="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13"/>
      <c r="N48" s="40"/>
    </row>
    <row r="49" spans="1:14" ht="30" customHeight="1" x14ac:dyDescent="0.25">
      <c r="A49" s="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13"/>
      <c r="N49" s="40"/>
    </row>
    <row r="50" spans="1:14" ht="30" customHeight="1" x14ac:dyDescent="0.25">
      <c r="A50" s="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13"/>
      <c r="N50" s="40"/>
    </row>
    <row r="51" spans="1:14" ht="10.5" customHeight="1" x14ac:dyDescent="0.25">
      <c r="A51" s="20"/>
      <c r="B51" s="21"/>
      <c r="C51" s="21"/>
      <c r="D51" s="21"/>
      <c r="E51" s="21"/>
      <c r="F51" s="72"/>
      <c r="G51" s="21"/>
      <c r="H51" s="21"/>
      <c r="I51" s="72"/>
      <c r="J51" s="72"/>
      <c r="K51" s="28"/>
      <c r="L51" s="21"/>
      <c r="M51" s="23"/>
    </row>
  </sheetData>
  <sheetProtection algorithmName="SHA-512" hashValue="tbkKC0dchhPMu5DutTcI4ZWbU0JrcjIBQKQ9EW/gRWHyd7PSHW1Yw1U80oBITMLhIu9BsK8t2pTQVhe79aY+Xg==" saltValue="xKS6Nq2XxSee8imwmJHNJg==" spinCount="100000" sheet="1" objects="1" scenarios="1" selectLockedCells="1"/>
  <dataConsolidate/>
  <mergeCells count="21">
    <mergeCell ref="B1:L1"/>
    <mergeCell ref="B2:L2"/>
    <mergeCell ref="S5:U5"/>
    <mergeCell ref="V5:X5"/>
    <mergeCell ref="S6:U6"/>
    <mergeCell ref="V6:X6"/>
    <mergeCell ref="B48:L48"/>
    <mergeCell ref="B49:L49"/>
    <mergeCell ref="B50:L50"/>
    <mergeCell ref="X7:X8"/>
    <mergeCell ref="G10:J10"/>
    <mergeCell ref="H21:L21"/>
    <mergeCell ref="G27:J27"/>
    <mergeCell ref="B43:H43"/>
    <mergeCell ref="C47:L47"/>
    <mergeCell ref="R7:R8"/>
    <mergeCell ref="S7:S8"/>
    <mergeCell ref="T7:T8"/>
    <mergeCell ref="U7:U8"/>
    <mergeCell ref="V7:V8"/>
    <mergeCell ref="W7:W8"/>
  </mergeCells>
  <conditionalFormatting sqref="I34">
    <cfRule type="cellIs" dxfId="11" priority="4" operator="lessThan">
      <formula>0.5</formula>
    </cfRule>
  </conditionalFormatting>
  <conditionalFormatting sqref="K5">
    <cfRule type="cellIs" dxfId="10" priority="3" operator="greaterThan">
      <formula>50</formula>
    </cfRule>
  </conditionalFormatting>
  <conditionalFormatting sqref="E25:F25">
    <cfRule type="expression" dxfId="9" priority="1" stopIfTrue="1">
      <formula>$N$25&gt;=0.1</formula>
    </cfRule>
    <cfRule type="expression" dxfId="8" priority="2">
      <formula>$N$25&gt;0</formula>
    </cfRule>
  </conditionalFormatting>
  <dataValidations count="3">
    <dataValidation type="list" allowBlank="1" showInputMessage="1" showErrorMessage="1" sqref="G38">
      <formula1>$N$38:$N$40</formula1>
    </dataValidation>
    <dataValidation type="list" allowBlank="1" showInputMessage="1" showErrorMessage="1" promptTitle="Scegliere un circolatore" sqref="G27:J27">
      <formula1>$N$27:$N$29</formula1>
    </dataValidation>
    <dataValidation type="list" allowBlank="1" showErrorMessage="1" sqref="G10:J10">
      <formula1>$N$10:$N$15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>
      <selection activeCell="G10" sqref="G10:J10"/>
    </sheetView>
  </sheetViews>
  <sheetFormatPr defaultRowHeight="15" x14ac:dyDescent="0.25"/>
  <cols>
    <col min="1" max="1" width="1.42578125" customWidth="1"/>
    <col min="4" max="4" width="11.42578125" customWidth="1"/>
    <col min="5" max="5" width="17.85546875" customWidth="1"/>
    <col min="6" max="6" width="5.7109375" style="1" customWidth="1"/>
    <col min="7" max="7" width="5" customWidth="1"/>
    <col min="8" max="8" width="7.85546875" customWidth="1"/>
    <col min="9" max="9" width="7.28515625" style="1" customWidth="1"/>
    <col min="10" max="10" width="7.85546875" style="1" customWidth="1"/>
    <col min="11" max="11" width="9.7109375" style="29" bestFit="1" customWidth="1"/>
    <col min="12" max="12" width="3.85546875" bestFit="1" customWidth="1"/>
    <col min="13" max="13" width="1.42578125" customWidth="1"/>
    <col min="14" max="14" width="34.5703125" style="11" hidden="1" customWidth="1"/>
    <col min="15" max="15" width="4" style="11" hidden="1" customWidth="1"/>
    <col min="16" max="16" width="11.28515625" style="12" hidden="1" customWidth="1"/>
    <col min="17" max="17" width="12.42578125" style="12" hidden="1" customWidth="1"/>
    <col min="18" max="21" width="11.28515625" style="12" hidden="1" customWidth="1"/>
    <col min="22" max="24" width="14.140625" style="12" hidden="1" customWidth="1"/>
  </cols>
  <sheetData>
    <row r="1" spans="1:24" ht="75.75" customHeight="1" x14ac:dyDescent="0.35">
      <c r="A1" s="3"/>
      <c r="B1" s="82" t="s">
        <v>78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6"/>
    </row>
    <row r="2" spans="1:24" ht="188.25" customHeight="1" x14ac:dyDescent="0.25">
      <c r="A2" s="7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3"/>
    </row>
    <row r="3" spans="1:24" s="9" customFormat="1" ht="11.25" customHeight="1" x14ac:dyDescent="0.25">
      <c r="A3" s="7"/>
      <c r="F3" s="77"/>
      <c r="I3" s="77"/>
      <c r="J3" s="77"/>
      <c r="K3" s="27"/>
      <c r="M3" s="13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</row>
    <row r="4" spans="1:24" ht="10.5" customHeight="1" x14ac:dyDescent="0.25">
      <c r="A4" s="7"/>
      <c r="B4" s="9"/>
      <c r="C4" s="9"/>
      <c r="D4" s="9"/>
      <c r="E4" s="9"/>
      <c r="F4" s="77"/>
      <c r="G4" s="9"/>
      <c r="H4" s="9"/>
      <c r="I4" s="77"/>
      <c r="J4" s="77"/>
      <c r="K4" s="27"/>
      <c r="L4" s="9"/>
      <c r="M4" s="13"/>
    </row>
    <row r="5" spans="1:24" x14ac:dyDescent="0.25">
      <c r="A5" s="7"/>
      <c r="B5" s="24"/>
      <c r="C5" s="9"/>
      <c r="D5" s="9"/>
      <c r="E5" s="9"/>
      <c r="F5" s="77"/>
      <c r="G5" s="9"/>
      <c r="H5" s="9"/>
      <c r="I5" s="77"/>
      <c r="J5" s="77"/>
      <c r="K5" s="38"/>
      <c r="L5" s="24"/>
      <c r="M5" s="13"/>
      <c r="R5" s="79" t="s">
        <v>29</v>
      </c>
      <c r="S5" s="83" t="s">
        <v>25</v>
      </c>
      <c r="T5" s="83"/>
      <c r="U5" s="83"/>
      <c r="V5" s="84" t="s">
        <v>27</v>
      </c>
      <c r="W5" s="84"/>
      <c r="X5" s="84"/>
    </row>
    <row r="6" spans="1:24" x14ac:dyDescent="0.25">
      <c r="A6" s="7"/>
      <c r="B6" s="9"/>
      <c r="C6" s="9"/>
      <c r="D6" s="9"/>
      <c r="E6" s="9"/>
      <c r="F6" s="77"/>
      <c r="G6" s="9"/>
      <c r="H6" s="9"/>
      <c r="I6" s="77"/>
      <c r="J6" s="77"/>
      <c r="K6" s="27"/>
      <c r="L6" s="9"/>
      <c r="M6" s="13"/>
      <c r="R6" s="79" t="s">
        <v>31</v>
      </c>
      <c r="S6" s="83" t="s">
        <v>26</v>
      </c>
      <c r="T6" s="83"/>
      <c r="U6" s="83"/>
      <c r="V6" s="84" t="s">
        <v>28</v>
      </c>
      <c r="W6" s="84"/>
      <c r="X6" s="84"/>
    </row>
    <row r="7" spans="1:24" ht="10.5" customHeight="1" x14ac:dyDescent="0.25">
      <c r="A7" s="20"/>
      <c r="B7" s="21"/>
      <c r="C7" s="21"/>
      <c r="D7" s="21"/>
      <c r="E7" s="21"/>
      <c r="F7" s="72"/>
      <c r="G7" s="21"/>
      <c r="H7" s="21"/>
      <c r="I7" s="72"/>
      <c r="J7" s="72"/>
      <c r="K7" s="28"/>
      <c r="L7" s="21"/>
      <c r="M7" s="23"/>
      <c r="R7" s="83" t="s">
        <v>30</v>
      </c>
      <c r="S7" s="93" t="s">
        <v>22</v>
      </c>
      <c r="T7" s="93" t="s">
        <v>23</v>
      </c>
      <c r="U7" s="93" t="s">
        <v>24</v>
      </c>
      <c r="V7" s="88" t="s">
        <v>22</v>
      </c>
      <c r="W7" s="88" t="s">
        <v>23</v>
      </c>
      <c r="X7" s="88" t="s">
        <v>24</v>
      </c>
    </row>
    <row r="8" spans="1:24" s="9" customFormat="1" ht="11.25" customHeight="1" x14ac:dyDescent="0.25">
      <c r="F8" s="77"/>
      <c r="I8" s="77"/>
      <c r="J8" s="77"/>
      <c r="K8" s="27"/>
      <c r="N8" s="11"/>
      <c r="O8" s="11"/>
      <c r="P8" s="12"/>
      <c r="Q8" s="12"/>
      <c r="R8" s="83"/>
      <c r="S8" s="93"/>
      <c r="T8" s="93"/>
      <c r="U8" s="93"/>
      <c r="V8" s="88"/>
      <c r="W8" s="88"/>
      <c r="X8" s="88"/>
    </row>
    <row r="9" spans="1:24" ht="10.5" customHeight="1" x14ac:dyDescent="0.25">
      <c r="A9" s="3"/>
      <c r="B9" s="4"/>
      <c r="C9" s="4"/>
      <c r="D9" s="4"/>
      <c r="E9" s="4"/>
      <c r="F9" s="5"/>
      <c r="G9" s="4"/>
      <c r="H9" s="4"/>
      <c r="I9" s="5"/>
      <c r="J9" s="5"/>
      <c r="K9" s="30"/>
      <c r="L9" s="4"/>
      <c r="M9" s="6"/>
      <c r="Q9" s="62"/>
      <c r="R9" s="52"/>
      <c r="S9" s="52"/>
      <c r="T9" s="52"/>
      <c r="U9" s="52"/>
    </row>
    <row r="10" spans="1:24" ht="15.75" x14ac:dyDescent="0.25">
      <c r="A10" s="7"/>
      <c r="B10" s="8"/>
      <c r="C10" s="9"/>
      <c r="D10" s="9"/>
      <c r="E10" s="9"/>
      <c r="F10" s="77"/>
      <c r="G10" s="89" t="s">
        <v>70</v>
      </c>
      <c r="H10" s="89"/>
      <c r="I10" s="89"/>
      <c r="J10" s="89"/>
      <c r="K10" s="27"/>
      <c r="L10" s="9"/>
      <c r="M10" s="13"/>
      <c r="N10" s="56" t="s">
        <v>70</v>
      </c>
      <c r="O10" s="11">
        <f>IF(G10=N10,1,0)</f>
        <v>1</v>
      </c>
      <c r="P10" s="12" t="s">
        <v>12</v>
      </c>
      <c r="Q10" s="49">
        <v>8</v>
      </c>
      <c r="R10" s="52">
        <v>2.6</v>
      </c>
      <c r="S10" s="75">
        <v>2972</v>
      </c>
      <c r="T10" s="75">
        <v>2421</v>
      </c>
      <c r="U10" s="75">
        <v>2161</v>
      </c>
      <c r="V10" s="54">
        <f>S10*$G22/860</f>
        <v>69.116279069767444</v>
      </c>
      <c r="W10" s="54">
        <f>T10*$G22/860</f>
        <v>56.302325581395351</v>
      </c>
      <c r="X10" s="54">
        <f>U10*$G22/860</f>
        <v>50.255813953488371</v>
      </c>
    </row>
    <row r="11" spans="1:24" s="2" customFormat="1" ht="15.75" hidden="1" x14ac:dyDescent="0.25">
      <c r="A11" s="42"/>
      <c r="B11" s="45"/>
      <c r="C11" s="11"/>
      <c r="D11" s="11"/>
      <c r="E11" s="11"/>
      <c r="F11" s="12"/>
      <c r="G11" s="12"/>
      <c r="H11" s="11"/>
      <c r="I11" s="12"/>
      <c r="J11" s="12"/>
      <c r="K11" s="11"/>
      <c r="L11" s="11"/>
      <c r="M11" s="43"/>
      <c r="N11" s="56" t="s">
        <v>71</v>
      </c>
      <c r="O11" s="11">
        <f>IF(G10=N11,1,0)</f>
        <v>0</v>
      </c>
      <c r="P11" s="12" t="s">
        <v>12</v>
      </c>
      <c r="Q11" s="49">
        <v>6</v>
      </c>
      <c r="R11" s="52">
        <v>4.0999999999999996</v>
      </c>
      <c r="S11" s="75">
        <v>2284</v>
      </c>
      <c r="T11" s="75">
        <v>1770</v>
      </c>
      <c r="U11" s="75">
        <v>1511</v>
      </c>
      <c r="V11" s="54">
        <f>S11*$G22/860</f>
        <v>53.116279069767444</v>
      </c>
      <c r="W11" s="54">
        <f>T11*$G22/860</f>
        <v>41.162790697674417</v>
      </c>
      <c r="X11" s="54">
        <f>U11*$G22/860</f>
        <v>35.139534883720927</v>
      </c>
    </row>
    <row r="12" spans="1:24" s="2" customFormat="1" ht="15.75" hidden="1" x14ac:dyDescent="0.25">
      <c r="A12" s="42"/>
      <c r="B12" s="45"/>
      <c r="C12" s="11"/>
      <c r="D12" s="11"/>
      <c r="E12" s="11"/>
      <c r="F12" s="12"/>
      <c r="G12" s="12"/>
      <c r="H12" s="11"/>
      <c r="I12" s="12"/>
      <c r="J12" s="12"/>
      <c r="K12" s="11"/>
      <c r="L12" s="11"/>
      <c r="M12" s="43"/>
      <c r="N12" s="56" t="s">
        <v>72</v>
      </c>
      <c r="O12" s="11">
        <f>IF(G10=N12,1,0)</f>
        <v>0</v>
      </c>
      <c r="P12" s="12" t="s">
        <v>12</v>
      </c>
      <c r="Q12" s="49">
        <v>2.8</v>
      </c>
      <c r="R12" s="52">
        <v>5</v>
      </c>
      <c r="S12" s="75">
        <v>1408</v>
      </c>
      <c r="T12" s="75">
        <v>1082</v>
      </c>
      <c r="U12" s="75">
        <v>902</v>
      </c>
      <c r="V12" s="54">
        <f>S12*$G22/860</f>
        <v>32.744186046511629</v>
      </c>
      <c r="W12" s="54">
        <f>T12*$G22/860</f>
        <v>25.162790697674417</v>
      </c>
      <c r="X12" s="54">
        <f>U12*$G22/860</f>
        <v>20.976744186046513</v>
      </c>
    </row>
    <row r="13" spans="1:24" s="2" customFormat="1" ht="15.75" hidden="1" x14ac:dyDescent="0.25">
      <c r="A13" s="42"/>
      <c r="B13" s="45"/>
      <c r="C13" s="11"/>
      <c r="D13" s="11"/>
      <c r="E13" s="11"/>
      <c r="F13" s="12"/>
      <c r="G13" s="12"/>
      <c r="H13" s="11"/>
      <c r="I13" s="12"/>
      <c r="J13" s="12"/>
      <c r="K13" s="11"/>
      <c r="L13" s="11"/>
      <c r="M13" s="43"/>
      <c r="N13" s="56" t="s">
        <v>73</v>
      </c>
      <c r="O13" s="11">
        <f>IF(G10=N13,1,0)</f>
        <v>0</v>
      </c>
      <c r="P13" s="12" t="s">
        <v>12</v>
      </c>
      <c r="Q13" s="49">
        <v>4.2</v>
      </c>
      <c r="R13" s="52">
        <v>5</v>
      </c>
      <c r="S13" s="75">
        <v>1757</v>
      </c>
      <c r="T13" s="75">
        <v>1315</v>
      </c>
      <c r="U13" s="75">
        <v>1080</v>
      </c>
      <c r="V13" s="54">
        <f>S13*$G22/860</f>
        <v>40.860465116279073</v>
      </c>
      <c r="W13" s="54">
        <f>T13*$G22/860</f>
        <v>30.581395348837209</v>
      </c>
      <c r="X13" s="54">
        <f>U13*$G22/860</f>
        <v>25.11627906976744</v>
      </c>
    </row>
    <row r="14" spans="1:24" s="2" customFormat="1" ht="15.75" hidden="1" x14ac:dyDescent="0.25">
      <c r="A14" s="42"/>
      <c r="B14" s="45"/>
      <c r="C14" s="11"/>
      <c r="D14" s="11"/>
      <c r="E14" s="11"/>
      <c r="F14" s="12"/>
      <c r="G14" s="12"/>
      <c r="H14" s="11"/>
      <c r="I14" s="12"/>
      <c r="J14" s="12"/>
      <c r="K14" s="11"/>
      <c r="L14" s="11"/>
      <c r="M14" s="43"/>
      <c r="N14" s="56" t="s">
        <v>74</v>
      </c>
      <c r="O14" s="11">
        <f>IF(G10=N14,1,0)</f>
        <v>0</v>
      </c>
      <c r="P14" s="12" t="s">
        <v>12</v>
      </c>
      <c r="Q14" s="49">
        <v>2.8</v>
      </c>
      <c r="R14" s="52">
        <v>5</v>
      </c>
      <c r="S14" s="75">
        <v>1408</v>
      </c>
      <c r="T14" s="75">
        <v>1082</v>
      </c>
      <c r="U14" s="75">
        <v>902</v>
      </c>
      <c r="V14" s="54">
        <f>S14*$G22/860</f>
        <v>32.744186046511629</v>
      </c>
      <c r="W14" s="54">
        <f>T14*$G22/860</f>
        <v>25.162790697674417</v>
      </c>
      <c r="X14" s="54">
        <f>U14*$G22/860</f>
        <v>20.976744186046513</v>
      </c>
    </row>
    <row r="15" spans="1:24" s="2" customFormat="1" ht="15.75" hidden="1" x14ac:dyDescent="0.25">
      <c r="A15" s="42"/>
      <c r="B15" s="45"/>
      <c r="C15" s="11"/>
      <c r="D15" s="11"/>
      <c r="E15" s="11"/>
      <c r="F15" s="12"/>
      <c r="G15" s="12"/>
      <c r="H15" s="11"/>
      <c r="I15" s="12"/>
      <c r="J15" s="12"/>
      <c r="K15" s="11"/>
      <c r="L15" s="11"/>
      <c r="M15" s="43"/>
      <c r="N15" s="56" t="s">
        <v>75</v>
      </c>
      <c r="O15" s="11">
        <f>IF(G10=N15,1,0)</f>
        <v>0</v>
      </c>
      <c r="P15" s="12" t="s">
        <v>12</v>
      </c>
      <c r="Q15" s="49">
        <v>3.8</v>
      </c>
      <c r="R15" s="52">
        <v>5</v>
      </c>
      <c r="S15" s="75">
        <v>1673</v>
      </c>
      <c r="T15" s="75">
        <v>1261</v>
      </c>
      <c r="U15" s="75">
        <v>1039</v>
      </c>
      <c r="V15" s="54">
        <f>S15*$G22/860</f>
        <v>38.906976744186046</v>
      </c>
      <c r="W15" s="54">
        <f>T15*$G22/860</f>
        <v>29.325581395348838</v>
      </c>
      <c r="X15" s="54">
        <f>U15*$G22/860</f>
        <v>24.162790697674417</v>
      </c>
    </row>
    <row r="16" spans="1:24" s="2" customFormat="1" ht="15.75" hidden="1" x14ac:dyDescent="0.25">
      <c r="A16" s="42"/>
      <c r="B16" s="45"/>
      <c r="C16" s="11"/>
      <c r="D16" s="11"/>
      <c r="E16" s="11"/>
      <c r="F16" s="12"/>
      <c r="G16" s="12"/>
      <c r="H16" s="11"/>
      <c r="I16" s="12"/>
      <c r="J16" s="12"/>
      <c r="K16" s="11"/>
      <c r="L16" s="11"/>
      <c r="M16" s="43"/>
      <c r="N16" s="56" t="s">
        <v>42</v>
      </c>
      <c r="O16" s="11">
        <f>IF(G10=N16,1,0)</f>
        <v>0</v>
      </c>
      <c r="P16" s="12" t="s">
        <v>12</v>
      </c>
      <c r="Q16" s="49"/>
      <c r="R16" s="52"/>
      <c r="S16" s="75"/>
      <c r="T16" s="75"/>
      <c r="U16" s="75"/>
      <c r="V16" s="54">
        <f>S16*$G22/860</f>
        <v>0</v>
      </c>
      <c r="W16" s="54">
        <f>T16*$G22/860</f>
        <v>0</v>
      </c>
      <c r="X16" s="54">
        <f>U16*$G22/860</f>
        <v>0</v>
      </c>
    </row>
    <row r="17" spans="1:24" s="2" customFormat="1" ht="15.75" hidden="1" x14ac:dyDescent="0.25">
      <c r="A17" s="42"/>
      <c r="B17" s="45"/>
      <c r="C17" s="11"/>
      <c r="D17" s="11"/>
      <c r="E17" s="11"/>
      <c r="F17" s="12"/>
      <c r="G17" s="12"/>
      <c r="H17" s="11"/>
      <c r="I17" s="12"/>
      <c r="J17" s="12"/>
      <c r="K17" s="11"/>
      <c r="L17" s="11"/>
      <c r="M17" s="43"/>
      <c r="N17" s="56" t="s">
        <v>42</v>
      </c>
      <c r="O17" s="11">
        <f>IF(G10=N17,1,0)</f>
        <v>0</v>
      </c>
      <c r="P17" s="12" t="s">
        <v>12</v>
      </c>
      <c r="Q17" s="49"/>
      <c r="R17" s="52"/>
      <c r="S17" s="75"/>
      <c r="T17" s="75"/>
      <c r="U17" s="75"/>
      <c r="V17" s="54">
        <f>S17*$G22/860</f>
        <v>0</v>
      </c>
      <c r="W17" s="54">
        <f>T17*$G22/860</f>
        <v>0</v>
      </c>
      <c r="X17" s="54">
        <f>U17*$G22/860</f>
        <v>0</v>
      </c>
    </row>
    <row r="18" spans="1:24" s="2" customFormat="1" ht="15.75" hidden="1" x14ac:dyDescent="0.25">
      <c r="A18" s="42"/>
      <c r="B18" s="45"/>
      <c r="C18" s="11"/>
      <c r="D18" s="11"/>
      <c r="E18" s="11"/>
      <c r="F18" s="12"/>
      <c r="G18" s="12"/>
      <c r="H18" s="11"/>
      <c r="I18" s="12"/>
      <c r="J18" s="12"/>
      <c r="K18" s="11"/>
      <c r="L18" s="11"/>
      <c r="M18" s="43"/>
      <c r="N18" s="56" t="s">
        <v>42</v>
      </c>
      <c r="O18" s="11">
        <f>IF(G10=N18,1,0)</f>
        <v>0</v>
      </c>
      <c r="P18" s="12" t="s">
        <v>12</v>
      </c>
      <c r="Q18" s="49"/>
      <c r="R18" s="52"/>
      <c r="S18" s="53"/>
      <c r="T18" s="53"/>
      <c r="U18" s="53"/>
      <c r="V18" s="54">
        <f>S18*$G22/860</f>
        <v>0</v>
      </c>
      <c r="W18" s="54">
        <f t="shared" ref="W18:X18" si="0">T18*$G22/860</f>
        <v>0</v>
      </c>
      <c r="X18" s="54">
        <f t="shared" si="0"/>
        <v>0</v>
      </c>
    </row>
    <row r="19" spans="1:24" s="2" customFormat="1" ht="15.75" hidden="1" x14ac:dyDescent="0.25">
      <c r="A19" s="42"/>
      <c r="B19" s="45"/>
      <c r="C19" s="11"/>
      <c r="D19" s="11"/>
      <c r="E19" s="11"/>
      <c r="F19" s="12"/>
      <c r="G19" s="12"/>
      <c r="H19" s="11"/>
      <c r="I19" s="12"/>
      <c r="J19" s="12"/>
      <c r="K19" s="11"/>
      <c r="L19" s="11"/>
      <c r="M19" s="43"/>
      <c r="N19" s="56" t="s">
        <v>42</v>
      </c>
      <c r="O19" s="11">
        <f>IF(G10=N19,1,0)</f>
        <v>0</v>
      </c>
      <c r="P19" s="12" t="s">
        <v>12</v>
      </c>
      <c r="Q19" s="49"/>
      <c r="R19" s="52"/>
      <c r="S19" s="53"/>
      <c r="T19" s="53"/>
      <c r="U19" s="53"/>
      <c r="V19" s="54">
        <f>S19*$G22/860</f>
        <v>0</v>
      </c>
      <c r="W19" s="54">
        <f t="shared" ref="W19:X19" si="1">T19*$G22/860</f>
        <v>0</v>
      </c>
      <c r="X19" s="54">
        <f t="shared" si="1"/>
        <v>0</v>
      </c>
    </row>
    <row r="20" spans="1:24" ht="8.25" customHeight="1" x14ac:dyDescent="0.3">
      <c r="A20" s="7"/>
      <c r="B20" s="9"/>
      <c r="C20" s="9"/>
      <c r="D20" s="9"/>
      <c r="E20" s="9"/>
      <c r="F20" s="41"/>
      <c r="G20" s="41"/>
      <c r="H20" s="41"/>
      <c r="I20" s="41"/>
      <c r="J20" s="41"/>
      <c r="K20" s="27"/>
      <c r="L20" s="9"/>
      <c r="M20" s="13"/>
      <c r="N20" s="57"/>
    </row>
    <row r="21" spans="1:24" x14ac:dyDescent="0.25">
      <c r="A21" s="7"/>
      <c r="B21" s="9"/>
      <c r="C21" s="9"/>
      <c r="D21" s="9"/>
      <c r="E21" s="9"/>
      <c r="F21" s="77"/>
      <c r="G21" s="77"/>
      <c r="H21" s="90"/>
      <c r="I21" s="90"/>
      <c r="J21" s="90"/>
      <c r="K21" s="90"/>
      <c r="L21" s="90"/>
      <c r="M21" s="13"/>
    </row>
    <row r="22" spans="1:24" x14ac:dyDescent="0.25">
      <c r="A22" s="7"/>
      <c r="B22" s="9" t="s">
        <v>54</v>
      </c>
      <c r="C22" s="9"/>
      <c r="D22" s="9"/>
      <c r="E22" s="9"/>
      <c r="F22" s="77"/>
      <c r="G22" s="69">
        <v>20</v>
      </c>
      <c r="H22" s="9" t="s">
        <v>1</v>
      </c>
      <c r="I22" s="77"/>
      <c r="J22" s="77"/>
      <c r="K22" s="27"/>
      <c r="L22" s="9"/>
      <c r="M22" s="13"/>
      <c r="N22" s="58"/>
    </row>
    <row r="23" spans="1:24" ht="15.75" x14ac:dyDescent="0.25">
      <c r="A23" s="7"/>
      <c r="B23" s="9" t="s">
        <v>55</v>
      </c>
      <c r="C23" s="9"/>
      <c r="D23" s="9"/>
      <c r="E23" s="9"/>
      <c r="F23" s="77"/>
      <c r="G23" s="69">
        <v>2150</v>
      </c>
      <c r="H23" s="26" t="s">
        <v>2</v>
      </c>
      <c r="I23" s="25"/>
      <c r="J23" s="25"/>
      <c r="K23" s="60"/>
      <c r="L23" s="33"/>
      <c r="M23" s="13"/>
      <c r="N23" s="58"/>
      <c r="P23" s="80"/>
      <c r="Q23" s="14"/>
      <c r="R23" s="14"/>
      <c r="S23" s="14"/>
      <c r="T23" s="14"/>
      <c r="U23" s="14"/>
      <c r="V23" s="14"/>
      <c r="W23" s="14"/>
      <c r="X23" s="14"/>
    </row>
    <row r="24" spans="1:24" x14ac:dyDescent="0.25">
      <c r="A24" s="7"/>
      <c r="B24" s="9"/>
      <c r="C24" s="9"/>
      <c r="D24" s="9"/>
      <c r="E24" s="9"/>
      <c r="F24" s="77"/>
      <c r="G24" s="9"/>
      <c r="H24" s="9"/>
      <c r="I24" s="77"/>
      <c r="J24" s="77"/>
      <c r="K24" s="27"/>
      <c r="L24" s="15"/>
      <c r="M24" s="13"/>
      <c r="N24" s="58"/>
    </row>
    <row r="25" spans="1:24" ht="15.75" x14ac:dyDescent="0.25">
      <c r="A25" s="7"/>
      <c r="B25" s="16" t="s">
        <v>81</v>
      </c>
      <c r="C25" s="9"/>
      <c r="D25" s="9"/>
      <c r="E25" s="38">
        <f>G23*G22/860</f>
        <v>50</v>
      </c>
      <c r="F25" s="24" t="s">
        <v>0</v>
      </c>
      <c r="H25" s="65" t="s">
        <v>56</v>
      </c>
      <c r="I25" s="63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50.255813953488371</v>
      </c>
      <c r="J25" s="66" t="s">
        <v>15</v>
      </c>
      <c r="K25" s="38"/>
      <c r="L25" s="24"/>
      <c r="M25" s="13"/>
      <c r="N25" s="64">
        <f>E25/I25-1</f>
        <v>-5.0902360018509896E-3</v>
      </c>
      <c r="P25" s="36"/>
      <c r="Q25" s="32"/>
      <c r="S25" s="80" t="s">
        <v>10</v>
      </c>
      <c r="T25" s="80" t="s">
        <v>11</v>
      </c>
      <c r="U25" s="80"/>
    </row>
    <row r="26" spans="1:24" x14ac:dyDescent="0.25">
      <c r="A26" s="7"/>
      <c r="B26" s="27"/>
      <c r="C26" s="9"/>
      <c r="D26" s="9"/>
      <c r="E26" s="9"/>
      <c r="F26" s="77"/>
      <c r="G26" s="9"/>
      <c r="H26" s="9"/>
      <c r="I26" s="77"/>
      <c r="J26" s="77"/>
      <c r="K26" s="27"/>
      <c r="L26" s="9"/>
      <c r="M26" s="13"/>
      <c r="P26" s="80" t="s">
        <v>8</v>
      </c>
      <c r="Q26" s="80" t="s">
        <v>7</v>
      </c>
      <c r="R26" s="80" t="s">
        <v>6</v>
      </c>
      <c r="S26" s="80" t="s">
        <v>9</v>
      </c>
      <c r="T26" s="80" t="s">
        <v>9</v>
      </c>
      <c r="U26" s="80"/>
      <c r="V26" s="80" t="s">
        <v>4</v>
      </c>
      <c r="W26" s="80" t="s">
        <v>5</v>
      </c>
      <c r="X26" s="80"/>
    </row>
    <row r="27" spans="1:24" x14ac:dyDescent="0.25">
      <c r="A27" s="7"/>
      <c r="B27" s="9" t="s">
        <v>57</v>
      </c>
      <c r="C27" s="9"/>
      <c r="D27" s="9"/>
      <c r="E27" s="9"/>
      <c r="F27" s="77"/>
      <c r="G27" s="91" t="s">
        <v>45</v>
      </c>
      <c r="H27" s="91"/>
      <c r="I27" s="91"/>
      <c r="J27" s="91"/>
      <c r="K27" s="27"/>
      <c r="L27" s="9"/>
      <c r="M27" s="13"/>
      <c r="N27" s="11" t="s">
        <v>43</v>
      </c>
      <c r="O27" s="11">
        <f>IF(N27=G27,1,0)</f>
        <v>0</v>
      </c>
      <c r="P27" s="12" t="str">
        <f>IF(O27=1,1,"")</f>
        <v/>
      </c>
      <c r="Q27" s="12" t="str">
        <f>IF(O27=1,IF(G23&gt;=R27,2,1),"")</f>
        <v/>
      </c>
      <c r="R27" s="62">
        <v>1400</v>
      </c>
      <c r="S27" s="62">
        <v>-2.2857099999999998E-3</v>
      </c>
      <c r="T27" s="62">
        <v>10.8</v>
      </c>
      <c r="V27" s="62">
        <v>7.6</v>
      </c>
      <c r="W27" s="12">
        <f>G23*S27+T27</f>
        <v>5.885723500000001</v>
      </c>
    </row>
    <row r="28" spans="1:24" s="2" customFormat="1" hidden="1" x14ac:dyDescent="0.25">
      <c r="A28" s="42"/>
      <c r="B28" s="11"/>
      <c r="C28" s="11"/>
      <c r="D28" s="11"/>
      <c r="E28" s="11"/>
      <c r="F28" s="12"/>
      <c r="G28" s="12"/>
      <c r="H28" s="11"/>
      <c r="I28" s="12"/>
      <c r="J28" s="12"/>
      <c r="K28" s="11"/>
      <c r="L28" s="11"/>
      <c r="M28" s="43"/>
      <c r="N28" s="11" t="s">
        <v>44</v>
      </c>
      <c r="O28" s="11">
        <f>IF(N28=G27,1,0)</f>
        <v>0</v>
      </c>
      <c r="P28" s="12" t="str">
        <f>IF(O28=1,2,"")</f>
        <v/>
      </c>
      <c r="Q28" s="12" t="str">
        <f>IF(O28=1,IF(G23&gt;=R28,2,1),"")</f>
        <v/>
      </c>
      <c r="R28" s="62">
        <v>800</v>
      </c>
      <c r="S28" s="62">
        <v>-2.23077E-3</v>
      </c>
      <c r="T28" s="62">
        <v>8.9350000000000005</v>
      </c>
      <c r="U28" s="12"/>
      <c r="V28" s="62">
        <v>7.15</v>
      </c>
      <c r="W28" s="12">
        <f>G23*S28+T28</f>
        <v>4.1388445000000003</v>
      </c>
      <c r="X28" s="12"/>
    </row>
    <row r="29" spans="1:24" s="2" customFormat="1" hidden="1" x14ac:dyDescent="0.25">
      <c r="A29" s="42"/>
      <c r="B29" s="11"/>
      <c r="C29" s="11"/>
      <c r="D29" s="11"/>
      <c r="E29" s="11"/>
      <c r="F29" s="12"/>
      <c r="G29" s="12"/>
      <c r="H29" s="11"/>
      <c r="I29" s="12"/>
      <c r="J29" s="12"/>
      <c r="K29" s="11"/>
      <c r="L29" s="11"/>
      <c r="M29" s="43"/>
      <c r="N29" s="11" t="s">
        <v>45</v>
      </c>
      <c r="O29" s="11">
        <f>IF(N29=G27,1,0)</f>
        <v>1</v>
      </c>
      <c r="P29" s="12">
        <f>IF(O29=1,3,"")</f>
        <v>3</v>
      </c>
      <c r="Q29" s="12">
        <f>IF(O29=1,IF(G23&gt;=R29,2,1),"")</f>
        <v>2</v>
      </c>
      <c r="R29" s="62">
        <v>800</v>
      </c>
      <c r="S29" s="62">
        <v>-2.1538400000000002E-3</v>
      </c>
      <c r="T29" s="62">
        <v>8</v>
      </c>
      <c r="U29" s="12"/>
      <c r="V29" s="62">
        <v>6.3</v>
      </c>
      <c r="W29" s="12">
        <f>G23*S29+T29</f>
        <v>3.3692439999999992</v>
      </c>
      <c r="X29" s="12"/>
    </row>
    <row r="30" spans="1:24" s="2" customFormat="1" ht="18.75" hidden="1" x14ac:dyDescent="0.3">
      <c r="A30" s="42"/>
      <c r="B30" s="11"/>
      <c r="C30" s="11"/>
      <c r="D30" s="11"/>
      <c r="E30" s="11"/>
      <c r="F30" s="44"/>
      <c r="G30" s="44"/>
      <c r="H30" s="44"/>
      <c r="I30" s="44"/>
      <c r="J30" s="44"/>
      <c r="K30" s="11"/>
      <c r="L30" s="11"/>
      <c r="M30" s="43"/>
      <c r="N30" s="57"/>
      <c r="O30" s="11">
        <f>SUM(O27:O29)</f>
        <v>1</v>
      </c>
      <c r="P30" s="12">
        <f>SUM(P27:P29)</f>
        <v>3</v>
      </c>
      <c r="Q30" s="12">
        <f>SUM(Q27:Q29)</f>
        <v>2</v>
      </c>
      <c r="R30" s="12"/>
      <c r="S30" s="12"/>
      <c r="T30" s="12"/>
      <c r="U30" s="12"/>
      <c r="V30" s="12"/>
      <c r="W30" s="12"/>
      <c r="X30" s="12"/>
    </row>
    <row r="31" spans="1:24" ht="8.25" customHeight="1" x14ac:dyDescent="0.25">
      <c r="A31" s="7"/>
      <c r="B31" s="9"/>
      <c r="C31" s="9"/>
      <c r="D31" s="9"/>
      <c r="E31" s="9"/>
      <c r="F31" s="77"/>
      <c r="G31" s="9"/>
      <c r="H31" s="9"/>
      <c r="I31" s="77"/>
      <c r="J31" s="77"/>
      <c r="K31" s="27"/>
      <c r="L31" s="9"/>
      <c r="M31" s="13"/>
    </row>
    <row r="32" spans="1:24" x14ac:dyDescent="0.25">
      <c r="A32" s="7"/>
      <c r="B32" s="9"/>
      <c r="C32" s="9"/>
      <c r="D32" s="9"/>
      <c r="E32" s="9"/>
      <c r="F32" s="77"/>
      <c r="G32" s="9"/>
      <c r="H32" s="17" t="s">
        <v>58</v>
      </c>
      <c r="I32" s="34">
        <f>IF(O30=1,IF(AND(P30=1,Q30=1),V27,IF(AND(P30=1,Q30=2),W27,IF(AND(P30=2,Q30=1),V28,IF(AND(P30=2,Q30=2),W28,IF(AND(P30=3,Q30=1),V29,IF(AND(P30=3,Q30=2),W29,"Errore")))))),"- -")</f>
        <v>3.3692439999999992</v>
      </c>
      <c r="J32" s="9" t="s">
        <v>3</v>
      </c>
      <c r="K32" s="27"/>
      <c r="L32" s="9"/>
      <c r="M32" s="13"/>
    </row>
    <row r="33" spans="1:24" x14ac:dyDescent="0.25">
      <c r="A33" s="7"/>
      <c r="B33" s="9"/>
      <c r="C33" s="9"/>
      <c r="D33" s="9"/>
      <c r="E33" s="9"/>
      <c r="F33" s="77"/>
      <c r="G33" s="9"/>
      <c r="H33" s="17" t="s">
        <v>59</v>
      </c>
      <c r="I33" s="34">
        <f>IF(O30=1,IF(S33&lt;0.2,0.2,S33),"- -")</f>
        <v>0.73656648437499994</v>
      </c>
      <c r="J33" s="9" t="s">
        <v>3</v>
      </c>
      <c r="K33" s="27"/>
      <c r="L33" s="9"/>
      <c r="M33" s="13"/>
      <c r="P33" s="12" t="s">
        <v>12</v>
      </c>
      <c r="Q33" s="32">
        <f>IF(O10=1,Q10,IF(O11=1,Q11,IF(O12=1,Q12,IF(O13=1,Q13,IF(O14=1,Q14,IF(O15=1,Q15,IF(O16=1,Q16,IF(O17=1,Q17,IF(O17=1,Q17,IF(O18=1,Q18,IF(O19=1,Q19,"Errore!")))))))))))</f>
        <v>8</v>
      </c>
      <c r="R33" s="36" t="s">
        <v>13</v>
      </c>
      <c r="S33" s="12">
        <f>(G23/1000/Q33)^2*10.198</f>
        <v>0.73656648437499994</v>
      </c>
    </row>
    <row r="34" spans="1:24" ht="15.75" x14ac:dyDescent="0.25">
      <c r="A34" s="7"/>
      <c r="B34" s="9"/>
      <c r="C34" s="9"/>
      <c r="D34" s="9"/>
      <c r="E34" s="9"/>
      <c r="F34" s="77"/>
      <c r="G34" s="9"/>
      <c r="H34" s="18" t="s">
        <v>60</v>
      </c>
      <c r="I34" s="31">
        <f>IF(O30=1,I32-I33,"- -")</f>
        <v>2.6326775156249993</v>
      </c>
      <c r="J34" s="19" t="s">
        <v>3</v>
      </c>
      <c r="K34" s="55"/>
      <c r="L34" s="9"/>
      <c r="M34" s="13"/>
      <c r="N34" s="40"/>
    </row>
    <row r="35" spans="1:24" ht="9" customHeight="1" x14ac:dyDescent="0.25">
      <c r="A35" s="7"/>
      <c r="B35" s="9"/>
      <c r="C35" s="9"/>
      <c r="D35" s="9"/>
      <c r="E35" s="9"/>
      <c r="F35" s="77"/>
      <c r="G35" s="9"/>
      <c r="H35" s="18"/>
      <c r="I35" s="31"/>
      <c r="J35" s="19"/>
      <c r="K35" s="27"/>
      <c r="L35" s="9"/>
      <c r="M35" s="13"/>
      <c r="N35" s="40"/>
    </row>
    <row r="36" spans="1:24" ht="15.75" x14ac:dyDescent="0.25">
      <c r="A36" s="7"/>
      <c r="B36" s="16" t="str">
        <f>IF(G22&lt;=12,"Calcul installation plancher chauffant:","Calcul installation plancher chauffant non disponible avec Δt &gt; 12 K")</f>
        <v>Calcul installation plancher chauffant non disponible avec Δt &gt; 12 K</v>
      </c>
      <c r="C36" s="9"/>
      <c r="D36" s="9"/>
      <c r="E36" s="9"/>
      <c r="F36" s="77"/>
      <c r="G36" s="9"/>
      <c r="H36" s="18"/>
      <c r="I36" s="31"/>
      <c r="J36" s="19"/>
      <c r="K36" s="27"/>
      <c r="L36" s="9"/>
      <c r="M36" s="13"/>
      <c r="N36" s="40"/>
      <c r="S36" s="74" t="s">
        <v>41</v>
      </c>
    </row>
    <row r="37" spans="1:24" ht="9" customHeight="1" x14ac:dyDescent="0.25">
      <c r="A37" s="7"/>
      <c r="B37" s="9"/>
      <c r="C37" s="9"/>
      <c r="D37" s="9"/>
      <c r="E37" s="9"/>
      <c r="F37" s="77"/>
      <c r="G37" s="9"/>
      <c r="H37" s="18"/>
      <c r="I37" s="31"/>
      <c r="J37" s="19"/>
      <c r="K37" s="27"/>
      <c r="L37" s="9"/>
      <c r="M37" s="13"/>
      <c r="N37" s="40"/>
      <c r="S37" s="73"/>
    </row>
    <row r="38" spans="1:24" x14ac:dyDescent="0.25">
      <c r="A38" s="7"/>
      <c r="B38" s="9" t="s">
        <v>61</v>
      </c>
      <c r="C38" s="9"/>
      <c r="D38" s="9"/>
      <c r="E38" s="9"/>
      <c r="F38" s="17"/>
      <c r="G38" s="78" t="s">
        <v>20</v>
      </c>
      <c r="H38" s="9"/>
      <c r="I38" s="46" t="str">
        <f>IF(G22&gt;12,"","Utiliser Δt=")</f>
        <v/>
      </c>
      <c r="J38" s="19" t="str">
        <f>IF(G22&gt;12,"",IF(G38=N38,P38,IF(G38=N39,P39,IF(G38=N40,P40,""))))</f>
        <v/>
      </c>
      <c r="K38" s="27"/>
      <c r="L38" s="9"/>
      <c r="M38" s="13"/>
      <c r="N38" s="32" t="s">
        <v>19</v>
      </c>
      <c r="O38" s="11">
        <f>IF(N38=G38,1,0)</f>
        <v>0</v>
      </c>
      <c r="P38" s="12" t="s">
        <v>16</v>
      </c>
      <c r="Q38" s="39">
        <f>T38*S38</f>
        <v>34.375</v>
      </c>
      <c r="R38" s="32" t="s">
        <v>14</v>
      </c>
      <c r="S38" s="73">
        <v>1.375</v>
      </c>
      <c r="T38" s="50">
        <v>25</v>
      </c>
      <c r="U38" s="35"/>
      <c r="V38" s="32" t="s">
        <v>14</v>
      </c>
    </row>
    <row r="39" spans="1:24" s="2" customFormat="1" ht="15.75" hidden="1" x14ac:dyDescent="0.25">
      <c r="A39" s="42"/>
      <c r="B39" s="11"/>
      <c r="C39" s="11"/>
      <c r="D39" s="11"/>
      <c r="E39" s="11"/>
      <c r="F39" s="35"/>
      <c r="G39" s="47"/>
      <c r="H39" s="48"/>
      <c r="I39" s="47"/>
      <c r="J39" s="40"/>
      <c r="K39" s="11"/>
      <c r="L39" s="11"/>
      <c r="M39" s="43"/>
      <c r="N39" s="32" t="s">
        <v>20</v>
      </c>
      <c r="O39" s="11">
        <f>IF(N39=G38,1,0)</f>
        <v>1</v>
      </c>
      <c r="P39" s="12" t="s">
        <v>17</v>
      </c>
      <c r="Q39" s="39">
        <f>T39*S39</f>
        <v>110</v>
      </c>
      <c r="R39" s="32" t="s">
        <v>14</v>
      </c>
      <c r="S39" s="73">
        <v>1.375</v>
      </c>
      <c r="T39" s="51">
        <v>80</v>
      </c>
      <c r="U39" s="39"/>
      <c r="V39" s="32" t="s">
        <v>14</v>
      </c>
      <c r="W39" s="12"/>
      <c r="X39" s="12"/>
    </row>
    <row r="40" spans="1:24" s="2" customFormat="1" ht="15.75" hidden="1" x14ac:dyDescent="0.25">
      <c r="A40" s="42"/>
      <c r="B40" s="11"/>
      <c r="C40" s="11"/>
      <c r="D40" s="11"/>
      <c r="E40" s="11"/>
      <c r="F40" s="35"/>
      <c r="G40" s="47"/>
      <c r="H40" s="48"/>
      <c r="I40" s="47"/>
      <c r="J40" s="40"/>
      <c r="K40" s="11"/>
      <c r="L40" s="11"/>
      <c r="M40" s="43"/>
      <c r="N40" s="32" t="s">
        <v>21</v>
      </c>
      <c r="O40" s="11">
        <f>IF(N40=G38,1,0)</f>
        <v>0</v>
      </c>
      <c r="P40" s="12" t="s">
        <v>18</v>
      </c>
      <c r="Q40" s="39">
        <f>T40*S40</f>
        <v>192.5</v>
      </c>
      <c r="R40" s="32" t="s">
        <v>14</v>
      </c>
      <c r="S40" s="73">
        <v>1.375</v>
      </c>
      <c r="T40" s="50">
        <v>140</v>
      </c>
      <c r="U40" s="35"/>
      <c r="V40" s="32" t="s">
        <v>14</v>
      </c>
      <c r="W40" s="12"/>
      <c r="X40" s="12"/>
    </row>
    <row r="41" spans="1:24" s="2" customFormat="1" ht="18.75" hidden="1" x14ac:dyDescent="0.3">
      <c r="A41" s="42"/>
      <c r="B41" s="11"/>
      <c r="C41" s="11"/>
      <c r="D41" s="11"/>
      <c r="E41" s="11"/>
      <c r="F41" s="44"/>
      <c r="G41" s="44"/>
      <c r="H41" s="44"/>
      <c r="I41" s="44"/>
      <c r="J41" s="44"/>
      <c r="K41" s="11"/>
      <c r="L41" s="11"/>
      <c r="M41" s="43"/>
      <c r="N41" s="57"/>
      <c r="O41" s="11">
        <f>SUM(O38:O40)</f>
        <v>1</v>
      </c>
      <c r="P41" s="12">
        <f>SUM(P38:P40)</f>
        <v>0</v>
      </c>
      <c r="Q41" s="35"/>
      <c r="R41" s="12"/>
      <c r="S41" s="12"/>
      <c r="T41" s="12"/>
      <c r="U41" s="12"/>
      <c r="V41" s="12"/>
      <c r="W41" s="12"/>
      <c r="X41" s="12"/>
    </row>
    <row r="42" spans="1:24" ht="9" customHeight="1" x14ac:dyDescent="0.25">
      <c r="A42" s="7"/>
      <c r="B42" s="9"/>
      <c r="C42" s="9"/>
      <c r="D42" s="9"/>
      <c r="E42" s="9"/>
      <c r="F42" s="77"/>
      <c r="G42" s="9"/>
      <c r="H42" s="18"/>
      <c r="I42" s="31"/>
      <c r="J42" s="19"/>
      <c r="K42" s="27"/>
      <c r="L42" s="9"/>
      <c r="M42" s="13"/>
      <c r="N42" s="40"/>
    </row>
    <row r="43" spans="1:24" ht="44.25" customHeight="1" x14ac:dyDescent="0.25">
      <c r="A43" s="7"/>
      <c r="B43" s="92" t="str">
        <f>IF(G22&gt;12,"","Surface maxima du plancher chauffant gérable par chaque Module, avec un saut thermique proportionné à la classe d’isolation thermique sélectionnée:")</f>
        <v/>
      </c>
      <c r="C43" s="92"/>
      <c r="D43" s="92"/>
      <c r="E43" s="92"/>
      <c r="F43" s="92"/>
      <c r="G43" s="92"/>
      <c r="H43" s="92"/>
      <c r="I43" s="61" t="str">
        <f>IF(G22&gt;12,"",IF(G22&lt;=12,IF(O38=1,E25*1000/Q38,IF(O39=1,E25*1000/Q39,IF(O40=1,E25*1000/Q40,"- -"))),"- - "))</f>
        <v/>
      </c>
      <c r="J43" s="37" t="str">
        <f>IF(G22&gt;12,"","m2")</f>
        <v/>
      </c>
      <c r="K43" s="27"/>
      <c r="L43" s="9"/>
      <c r="M43" s="13"/>
      <c r="N43" s="59"/>
      <c r="Q43" s="35"/>
    </row>
    <row r="44" spans="1:24" ht="10.5" customHeight="1" x14ac:dyDescent="0.25">
      <c r="A44" s="20"/>
      <c r="B44" s="21"/>
      <c r="C44" s="21"/>
      <c r="D44" s="21"/>
      <c r="E44" s="21"/>
      <c r="F44" s="72"/>
      <c r="G44" s="21"/>
      <c r="H44" s="21"/>
      <c r="I44" s="72"/>
      <c r="J44" s="72"/>
      <c r="K44" s="28"/>
      <c r="L44" s="21"/>
      <c r="M44" s="23"/>
    </row>
    <row r="45" spans="1:24" s="9" customFormat="1" ht="11.25" customHeight="1" x14ac:dyDescent="0.25">
      <c r="F45" s="77"/>
      <c r="I45" s="77"/>
      <c r="J45" s="77"/>
      <c r="K45" s="27"/>
      <c r="N45" s="11"/>
      <c r="O45" s="11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0.5" customHeight="1" x14ac:dyDescent="0.25">
      <c r="A46" s="3"/>
      <c r="B46" s="4"/>
      <c r="C46" s="4"/>
      <c r="D46" s="4"/>
      <c r="E46" s="4"/>
      <c r="F46" s="5"/>
      <c r="G46" s="4"/>
      <c r="H46" s="4"/>
      <c r="I46" s="5"/>
      <c r="J46" s="5"/>
      <c r="K46" s="30"/>
      <c r="L46" s="4"/>
      <c r="M46" s="6"/>
    </row>
    <row r="47" spans="1:24" ht="18.75" customHeight="1" x14ac:dyDescent="0.25">
      <c r="A47" s="7"/>
      <c r="B47" s="71" t="s">
        <v>32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13"/>
      <c r="N47" s="40"/>
    </row>
    <row r="48" spans="1:24" ht="30" customHeight="1" x14ac:dyDescent="0.25">
      <c r="A48" s="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13"/>
      <c r="N48" s="40"/>
    </row>
    <row r="49" spans="1:14" ht="30" customHeight="1" x14ac:dyDescent="0.25">
      <c r="A49" s="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13"/>
      <c r="N49" s="40"/>
    </row>
    <row r="50" spans="1:14" ht="30" customHeight="1" x14ac:dyDescent="0.25">
      <c r="A50" s="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13"/>
      <c r="N50" s="40"/>
    </row>
    <row r="51" spans="1:14" ht="10.5" customHeight="1" x14ac:dyDescent="0.25">
      <c r="A51" s="20"/>
      <c r="B51" s="21"/>
      <c r="C51" s="21"/>
      <c r="D51" s="21"/>
      <c r="E51" s="21"/>
      <c r="F51" s="72"/>
      <c r="G51" s="21"/>
      <c r="H51" s="21"/>
      <c r="I51" s="72"/>
      <c r="J51" s="72"/>
      <c r="K51" s="28"/>
      <c r="L51" s="21"/>
      <c r="M51" s="23"/>
    </row>
  </sheetData>
  <sheetProtection algorithmName="SHA-512" hashValue="BJM+IvLU79oeGPlmBSaqlefV7+i5itnY1XTWajRuuIsVbpjlxrAkOuabQeLEWo3PNRxv96xuJ5x9hYyXszuVew==" saltValue="knLfzD8WBMeFsT4FuYewVg==" spinCount="100000" sheet="1" objects="1" scenarios="1" selectLockedCells="1"/>
  <dataConsolidate/>
  <mergeCells count="21">
    <mergeCell ref="B1:L1"/>
    <mergeCell ref="B2:L2"/>
    <mergeCell ref="S5:U5"/>
    <mergeCell ref="V5:X5"/>
    <mergeCell ref="S6:U6"/>
    <mergeCell ref="V6:X6"/>
    <mergeCell ref="B48:L48"/>
    <mergeCell ref="B49:L49"/>
    <mergeCell ref="B50:L50"/>
    <mergeCell ref="X7:X8"/>
    <mergeCell ref="G10:J10"/>
    <mergeCell ref="H21:L21"/>
    <mergeCell ref="G27:J27"/>
    <mergeCell ref="B43:H43"/>
    <mergeCell ref="C47:L47"/>
    <mergeCell ref="R7:R8"/>
    <mergeCell ref="S7:S8"/>
    <mergeCell ref="T7:T8"/>
    <mergeCell ref="U7:U8"/>
    <mergeCell ref="V7:V8"/>
    <mergeCell ref="W7:W8"/>
  </mergeCells>
  <conditionalFormatting sqref="I34">
    <cfRule type="cellIs" dxfId="7" priority="4" operator="lessThan">
      <formula>0.5</formula>
    </cfRule>
  </conditionalFormatting>
  <conditionalFormatting sqref="K5">
    <cfRule type="cellIs" dxfId="6" priority="3" operator="greaterThan">
      <formula>50</formula>
    </cfRule>
  </conditionalFormatting>
  <conditionalFormatting sqref="E25:F25">
    <cfRule type="expression" dxfId="5" priority="1" stopIfTrue="1">
      <formula>$N$25&gt;=0.1</formula>
    </cfRule>
    <cfRule type="expression" dxfId="4" priority="2">
      <formula>$N$25&gt;0</formula>
    </cfRule>
  </conditionalFormatting>
  <dataValidations count="3">
    <dataValidation type="list" allowBlank="1" showInputMessage="1" showErrorMessage="1" sqref="G38">
      <formula1>$N$38:$N$40</formula1>
    </dataValidation>
    <dataValidation type="list" allowBlank="1" showInputMessage="1" showErrorMessage="1" promptTitle="Scegliere un circolatore" sqref="G27:J27">
      <formula1>$N$27:$N$29</formula1>
    </dataValidation>
    <dataValidation type="list" allowBlank="1" showErrorMessage="1" sqref="G10:J10">
      <formula1>$N$10:$N$15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>
      <selection activeCell="G10" sqref="G10:J10"/>
    </sheetView>
  </sheetViews>
  <sheetFormatPr defaultRowHeight="15" x14ac:dyDescent="0.25"/>
  <cols>
    <col min="1" max="1" width="1.42578125" customWidth="1"/>
    <col min="4" max="4" width="11.42578125" customWidth="1"/>
    <col min="5" max="5" width="17.85546875" customWidth="1"/>
    <col min="6" max="6" width="5.7109375" style="1" customWidth="1"/>
    <col min="7" max="7" width="5" customWidth="1"/>
    <col min="8" max="8" width="7.85546875" customWidth="1"/>
    <col min="9" max="9" width="7.28515625" style="1" customWidth="1"/>
    <col min="10" max="10" width="7.85546875" style="1" customWidth="1"/>
    <col min="11" max="11" width="9.7109375" style="29" bestFit="1" customWidth="1"/>
    <col min="12" max="12" width="3.85546875" bestFit="1" customWidth="1"/>
    <col min="13" max="13" width="1.42578125" customWidth="1"/>
    <col min="14" max="14" width="34.5703125" style="11" hidden="1" customWidth="1"/>
    <col min="15" max="15" width="4" style="11" hidden="1" customWidth="1"/>
    <col min="16" max="16" width="11.28515625" style="12" hidden="1" customWidth="1"/>
    <col min="17" max="17" width="12.42578125" style="12" hidden="1" customWidth="1"/>
    <col min="18" max="21" width="11.28515625" style="12" hidden="1" customWidth="1"/>
    <col min="22" max="24" width="14.140625" style="12" hidden="1" customWidth="1"/>
  </cols>
  <sheetData>
    <row r="1" spans="1:24" ht="75.75" customHeight="1" x14ac:dyDescent="0.35">
      <c r="A1" s="3"/>
      <c r="B1" s="82" t="s">
        <v>79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6"/>
    </row>
    <row r="2" spans="1:24" ht="188.25" customHeight="1" x14ac:dyDescent="0.25">
      <c r="A2" s="7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3"/>
    </row>
    <row r="3" spans="1:24" s="9" customFormat="1" ht="11.25" customHeight="1" x14ac:dyDescent="0.25">
      <c r="A3" s="7"/>
      <c r="F3" s="77"/>
      <c r="I3" s="77"/>
      <c r="J3" s="77"/>
      <c r="K3" s="27"/>
      <c r="M3" s="13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</row>
    <row r="4" spans="1:24" ht="10.5" customHeight="1" x14ac:dyDescent="0.25">
      <c r="A4" s="7"/>
      <c r="B4" s="9"/>
      <c r="C4" s="9"/>
      <c r="D4" s="9"/>
      <c r="E4" s="9"/>
      <c r="F4" s="77"/>
      <c r="G4" s="9"/>
      <c r="H4" s="9"/>
      <c r="I4" s="77"/>
      <c r="J4" s="77"/>
      <c r="K4" s="27"/>
      <c r="L4" s="9"/>
      <c r="M4" s="13"/>
    </row>
    <row r="5" spans="1:24" x14ac:dyDescent="0.25">
      <c r="A5" s="7"/>
      <c r="B5" s="24"/>
      <c r="C5" s="9"/>
      <c r="D5" s="9"/>
      <c r="E5" s="9"/>
      <c r="F5" s="77"/>
      <c r="G5" s="9"/>
      <c r="H5" s="9"/>
      <c r="I5" s="77"/>
      <c r="J5" s="77"/>
      <c r="K5" s="38"/>
      <c r="L5" s="24"/>
      <c r="M5" s="13"/>
      <c r="R5" s="79" t="s">
        <v>29</v>
      </c>
      <c r="S5" s="83" t="s">
        <v>25</v>
      </c>
      <c r="T5" s="83"/>
      <c r="U5" s="83"/>
      <c r="V5" s="84" t="s">
        <v>27</v>
      </c>
      <c r="W5" s="84"/>
      <c r="X5" s="84"/>
    </row>
    <row r="6" spans="1:24" x14ac:dyDescent="0.25">
      <c r="A6" s="7"/>
      <c r="B6" s="9"/>
      <c r="C6" s="9"/>
      <c r="D6" s="9"/>
      <c r="E6" s="9"/>
      <c r="F6" s="77"/>
      <c r="G6" s="9"/>
      <c r="H6" s="9"/>
      <c r="I6" s="77"/>
      <c r="J6" s="77"/>
      <c r="K6" s="27"/>
      <c r="L6" s="9"/>
      <c r="M6" s="13"/>
      <c r="R6" s="79" t="s">
        <v>31</v>
      </c>
      <c r="S6" s="83" t="s">
        <v>26</v>
      </c>
      <c r="T6" s="83"/>
      <c r="U6" s="83"/>
      <c r="V6" s="84" t="s">
        <v>28</v>
      </c>
      <c r="W6" s="84"/>
      <c r="X6" s="84"/>
    </row>
    <row r="7" spans="1:24" ht="10.5" customHeight="1" x14ac:dyDescent="0.25">
      <c r="A7" s="20"/>
      <c r="B7" s="21"/>
      <c r="C7" s="21"/>
      <c r="D7" s="21"/>
      <c r="E7" s="21"/>
      <c r="F7" s="72"/>
      <c r="G7" s="21"/>
      <c r="H7" s="21"/>
      <c r="I7" s="72"/>
      <c r="J7" s="72"/>
      <c r="K7" s="28"/>
      <c r="L7" s="21"/>
      <c r="M7" s="23"/>
      <c r="R7" s="83" t="s">
        <v>30</v>
      </c>
      <c r="S7" s="93" t="s">
        <v>22</v>
      </c>
      <c r="T7" s="93" t="s">
        <v>23</v>
      </c>
      <c r="U7" s="93" t="s">
        <v>24</v>
      </c>
      <c r="V7" s="88" t="s">
        <v>22</v>
      </c>
      <c r="W7" s="88" t="s">
        <v>23</v>
      </c>
      <c r="X7" s="88" t="s">
        <v>24</v>
      </c>
    </row>
    <row r="8" spans="1:24" s="9" customFormat="1" ht="11.25" customHeight="1" x14ac:dyDescent="0.25">
      <c r="F8" s="77"/>
      <c r="I8" s="77"/>
      <c r="J8" s="77"/>
      <c r="K8" s="27"/>
      <c r="N8" s="11"/>
      <c r="O8" s="11"/>
      <c r="P8" s="12"/>
      <c r="Q8" s="12"/>
      <c r="R8" s="83"/>
      <c r="S8" s="93"/>
      <c r="T8" s="93"/>
      <c r="U8" s="93"/>
      <c r="V8" s="88"/>
      <c r="W8" s="88"/>
      <c r="X8" s="88"/>
    </row>
    <row r="9" spans="1:24" ht="10.5" customHeight="1" x14ac:dyDescent="0.25">
      <c r="A9" s="3"/>
      <c r="B9" s="4"/>
      <c r="C9" s="4"/>
      <c r="D9" s="4"/>
      <c r="E9" s="4"/>
      <c r="F9" s="5"/>
      <c r="G9" s="4"/>
      <c r="H9" s="4"/>
      <c r="I9" s="5"/>
      <c r="J9" s="5"/>
      <c r="K9" s="30"/>
      <c r="L9" s="4"/>
      <c r="M9" s="6"/>
      <c r="Q9" s="62"/>
      <c r="R9" s="52"/>
      <c r="S9" s="52"/>
      <c r="T9" s="52"/>
      <c r="U9" s="52"/>
    </row>
    <row r="10" spans="1:24" ht="15.75" x14ac:dyDescent="0.25">
      <c r="A10" s="7"/>
      <c r="B10" s="8"/>
      <c r="C10" s="9"/>
      <c r="D10" s="9"/>
      <c r="E10" s="9"/>
      <c r="F10" s="77"/>
      <c r="G10" s="89" t="s">
        <v>70</v>
      </c>
      <c r="H10" s="89"/>
      <c r="I10" s="89"/>
      <c r="J10" s="89"/>
      <c r="K10" s="27"/>
      <c r="L10" s="9"/>
      <c r="M10" s="13"/>
      <c r="N10" s="56" t="s">
        <v>70</v>
      </c>
      <c r="O10" s="11">
        <f>IF(G10=N10,1,0)</f>
        <v>1</v>
      </c>
      <c r="P10" s="12" t="s">
        <v>12</v>
      </c>
      <c r="Q10" s="49">
        <v>8</v>
      </c>
      <c r="R10" s="52">
        <v>2.6</v>
      </c>
      <c r="S10" s="75">
        <v>2972</v>
      </c>
      <c r="T10" s="75">
        <v>2421</v>
      </c>
      <c r="U10" s="75">
        <v>2161</v>
      </c>
      <c r="V10" s="54">
        <f>S10*$G22/860</f>
        <v>69.116279069767444</v>
      </c>
      <c r="W10" s="54">
        <f>T10*$G22/860</f>
        <v>56.302325581395351</v>
      </c>
      <c r="X10" s="54">
        <f>U10*$G22/860</f>
        <v>50.255813953488371</v>
      </c>
    </row>
    <row r="11" spans="1:24" s="2" customFormat="1" ht="15.75" hidden="1" x14ac:dyDescent="0.25">
      <c r="A11" s="42"/>
      <c r="B11" s="45"/>
      <c r="C11" s="11"/>
      <c r="D11" s="11"/>
      <c r="E11" s="11"/>
      <c r="F11" s="12"/>
      <c r="G11" s="12"/>
      <c r="H11" s="11"/>
      <c r="I11" s="12"/>
      <c r="J11" s="12"/>
      <c r="K11" s="11"/>
      <c r="L11" s="11"/>
      <c r="M11" s="43"/>
      <c r="N11" s="56" t="s">
        <v>71</v>
      </c>
      <c r="O11" s="11">
        <f>IF(G10=N11,1,0)</f>
        <v>0</v>
      </c>
      <c r="P11" s="12" t="s">
        <v>12</v>
      </c>
      <c r="Q11" s="49">
        <v>6</v>
      </c>
      <c r="R11" s="52">
        <v>4.0999999999999996</v>
      </c>
      <c r="S11" s="75">
        <v>2284</v>
      </c>
      <c r="T11" s="75">
        <v>1770</v>
      </c>
      <c r="U11" s="75">
        <v>1511</v>
      </c>
      <c r="V11" s="54">
        <f>S11*$G22/860</f>
        <v>53.116279069767444</v>
      </c>
      <c r="W11" s="54">
        <f>T11*$G22/860</f>
        <v>41.162790697674417</v>
      </c>
      <c r="X11" s="54">
        <f>U11*$G22/860</f>
        <v>35.139534883720927</v>
      </c>
    </row>
    <row r="12" spans="1:24" s="2" customFormat="1" ht="15.75" hidden="1" x14ac:dyDescent="0.25">
      <c r="A12" s="42"/>
      <c r="B12" s="45"/>
      <c r="C12" s="11"/>
      <c r="D12" s="11"/>
      <c r="E12" s="11"/>
      <c r="F12" s="12"/>
      <c r="G12" s="12"/>
      <c r="H12" s="11"/>
      <c r="I12" s="12"/>
      <c r="J12" s="12"/>
      <c r="K12" s="11"/>
      <c r="L12" s="11"/>
      <c r="M12" s="43"/>
      <c r="N12" s="56" t="s">
        <v>72</v>
      </c>
      <c r="O12" s="11">
        <f>IF(G10=N12,1,0)</f>
        <v>0</v>
      </c>
      <c r="P12" s="12" t="s">
        <v>12</v>
      </c>
      <c r="Q12" s="49">
        <v>2.8</v>
      </c>
      <c r="R12" s="52">
        <v>5</v>
      </c>
      <c r="S12" s="75">
        <v>1408</v>
      </c>
      <c r="T12" s="75">
        <v>1082</v>
      </c>
      <c r="U12" s="75">
        <v>902</v>
      </c>
      <c r="V12" s="54">
        <f>S12*$G22/860</f>
        <v>32.744186046511629</v>
      </c>
      <c r="W12" s="54">
        <f>T12*$G22/860</f>
        <v>25.162790697674417</v>
      </c>
      <c r="X12" s="54">
        <f>U12*$G22/860</f>
        <v>20.976744186046513</v>
      </c>
    </row>
    <row r="13" spans="1:24" s="2" customFormat="1" ht="15.75" hidden="1" x14ac:dyDescent="0.25">
      <c r="A13" s="42"/>
      <c r="B13" s="45"/>
      <c r="C13" s="11"/>
      <c r="D13" s="11"/>
      <c r="E13" s="11"/>
      <c r="F13" s="12"/>
      <c r="G13" s="12"/>
      <c r="H13" s="11"/>
      <c r="I13" s="12"/>
      <c r="J13" s="12"/>
      <c r="K13" s="11"/>
      <c r="L13" s="11"/>
      <c r="M13" s="43"/>
      <c r="N13" s="56" t="s">
        <v>73</v>
      </c>
      <c r="O13" s="11">
        <f>IF(G10=N13,1,0)</f>
        <v>0</v>
      </c>
      <c r="P13" s="12" t="s">
        <v>12</v>
      </c>
      <c r="Q13" s="49">
        <v>4.2</v>
      </c>
      <c r="R13" s="52">
        <v>5</v>
      </c>
      <c r="S13" s="75">
        <v>1757</v>
      </c>
      <c r="T13" s="75">
        <v>1315</v>
      </c>
      <c r="U13" s="75">
        <v>1080</v>
      </c>
      <c r="V13" s="54">
        <f>S13*$G22/860</f>
        <v>40.860465116279073</v>
      </c>
      <c r="W13" s="54">
        <f>T13*$G22/860</f>
        <v>30.581395348837209</v>
      </c>
      <c r="X13" s="54">
        <f>U13*$G22/860</f>
        <v>25.11627906976744</v>
      </c>
    </row>
    <row r="14" spans="1:24" s="2" customFormat="1" ht="15.75" hidden="1" x14ac:dyDescent="0.25">
      <c r="A14" s="42"/>
      <c r="B14" s="45"/>
      <c r="C14" s="11"/>
      <c r="D14" s="11"/>
      <c r="E14" s="11"/>
      <c r="F14" s="12"/>
      <c r="G14" s="12"/>
      <c r="H14" s="11"/>
      <c r="I14" s="12"/>
      <c r="J14" s="12"/>
      <c r="K14" s="11"/>
      <c r="L14" s="11"/>
      <c r="M14" s="43"/>
      <c r="N14" s="56" t="s">
        <v>74</v>
      </c>
      <c r="O14" s="11">
        <f>IF(G10=N14,1,0)</f>
        <v>0</v>
      </c>
      <c r="P14" s="12" t="s">
        <v>12</v>
      </c>
      <c r="Q14" s="49">
        <v>2.8</v>
      </c>
      <c r="R14" s="52">
        <v>5</v>
      </c>
      <c r="S14" s="75">
        <v>1408</v>
      </c>
      <c r="T14" s="75">
        <v>1082</v>
      </c>
      <c r="U14" s="75">
        <v>902</v>
      </c>
      <c r="V14" s="54">
        <f>S14*$G22/860</f>
        <v>32.744186046511629</v>
      </c>
      <c r="W14" s="54">
        <f>T14*$G22/860</f>
        <v>25.162790697674417</v>
      </c>
      <c r="X14" s="54">
        <f>U14*$G22/860</f>
        <v>20.976744186046513</v>
      </c>
    </row>
    <row r="15" spans="1:24" s="2" customFormat="1" ht="15.75" hidden="1" x14ac:dyDescent="0.25">
      <c r="A15" s="42"/>
      <c r="B15" s="45"/>
      <c r="C15" s="11"/>
      <c r="D15" s="11"/>
      <c r="E15" s="11"/>
      <c r="F15" s="12"/>
      <c r="G15" s="12"/>
      <c r="H15" s="11"/>
      <c r="I15" s="12"/>
      <c r="J15" s="12"/>
      <c r="K15" s="11"/>
      <c r="L15" s="11"/>
      <c r="M15" s="43"/>
      <c r="N15" s="56" t="s">
        <v>75</v>
      </c>
      <c r="O15" s="11">
        <f>IF(G10=N15,1,0)</f>
        <v>0</v>
      </c>
      <c r="P15" s="12" t="s">
        <v>12</v>
      </c>
      <c r="Q15" s="49">
        <v>3.8</v>
      </c>
      <c r="R15" s="52">
        <v>5</v>
      </c>
      <c r="S15" s="75">
        <v>1673</v>
      </c>
      <c r="T15" s="75">
        <v>1261</v>
      </c>
      <c r="U15" s="75">
        <v>1039</v>
      </c>
      <c r="V15" s="54">
        <f>S15*$G22/860</f>
        <v>38.906976744186046</v>
      </c>
      <c r="W15" s="54">
        <f>T15*$G22/860</f>
        <v>29.325581395348838</v>
      </c>
      <c r="X15" s="54">
        <f>U15*$G22/860</f>
        <v>24.162790697674417</v>
      </c>
    </row>
    <row r="16" spans="1:24" s="2" customFormat="1" ht="15.75" hidden="1" x14ac:dyDescent="0.25">
      <c r="A16" s="42"/>
      <c r="B16" s="45"/>
      <c r="C16" s="11"/>
      <c r="D16" s="11"/>
      <c r="E16" s="11"/>
      <c r="F16" s="12"/>
      <c r="G16" s="12"/>
      <c r="H16" s="11"/>
      <c r="I16" s="12"/>
      <c r="J16" s="12"/>
      <c r="K16" s="11"/>
      <c r="L16" s="11"/>
      <c r="M16" s="43"/>
      <c r="N16" s="56" t="s">
        <v>42</v>
      </c>
      <c r="O16" s="11">
        <f>IF(G10=N16,1,0)</f>
        <v>0</v>
      </c>
      <c r="P16" s="12" t="s">
        <v>12</v>
      </c>
      <c r="Q16" s="49"/>
      <c r="R16" s="52"/>
      <c r="S16" s="75"/>
      <c r="T16" s="75"/>
      <c r="U16" s="75"/>
      <c r="V16" s="54">
        <f>S16*$G22/860</f>
        <v>0</v>
      </c>
      <c r="W16" s="54">
        <f>T16*$G22/860</f>
        <v>0</v>
      </c>
      <c r="X16" s="54">
        <f>U16*$G22/860</f>
        <v>0</v>
      </c>
    </row>
    <row r="17" spans="1:24" s="2" customFormat="1" ht="15.75" hidden="1" x14ac:dyDescent="0.25">
      <c r="A17" s="42"/>
      <c r="B17" s="45"/>
      <c r="C17" s="11"/>
      <c r="D17" s="11"/>
      <c r="E17" s="11"/>
      <c r="F17" s="12"/>
      <c r="G17" s="12"/>
      <c r="H17" s="11"/>
      <c r="I17" s="12"/>
      <c r="J17" s="12"/>
      <c r="K17" s="11"/>
      <c r="L17" s="11"/>
      <c r="M17" s="43"/>
      <c r="N17" s="56" t="s">
        <v>42</v>
      </c>
      <c r="O17" s="11">
        <f>IF(G10=N17,1,0)</f>
        <v>0</v>
      </c>
      <c r="P17" s="12" t="s">
        <v>12</v>
      </c>
      <c r="Q17" s="49"/>
      <c r="R17" s="52"/>
      <c r="S17" s="75"/>
      <c r="T17" s="75"/>
      <c r="U17" s="75"/>
      <c r="V17" s="54">
        <f>S17*$G22/860</f>
        <v>0</v>
      </c>
      <c r="W17" s="54">
        <f>T17*$G22/860</f>
        <v>0</v>
      </c>
      <c r="X17" s="54">
        <f>U17*$G22/860</f>
        <v>0</v>
      </c>
    </row>
    <row r="18" spans="1:24" s="2" customFormat="1" ht="15.75" hidden="1" x14ac:dyDescent="0.25">
      <c r="A18" s="42"/>
      <c r="B18" s="45"/>
      <c r="C18" s="11"/>
      <c r="D18" s="11"/>
      <c r="E18" s="11"/>
      <c r="F18" s="12"/>
      <c r="G18" s="12"/>
      <c r="H18" s="11"/>
      <c r="I18" s="12"/>
      <c r="J18" s="12"/>
      <c r="K18" s="11"/>
      <c r="L18" s="11"/>
      <c r="M18" s="43"/>
      <c r="N18" s="56" t="s">
        <v>42</v>
      </c>
      <c r="O18" s="11">
        <f>IF(G10=N18,1,0)</f>
        <v>0</v>
      </c>
      <c r="P18" s="12" t="s">
        <v>12</v>
      </c>
      <c r="Q18" s="49"/>
      <c r="R18" s="52"/>
      <c r="S18" s="53"/>
      <c r="T18" s="53"/>
      <c r="U18" s="53"/>
      <c r="V18" s="54">
        <f>S18*$G22/860</f>
        <v>0</v>
      </c>
      <c r="W18" s="54">
        <f t="shared" ref="W18:X18" si="0">T18*$G22/860</f>
        <v>0</v>
      </c>
      <c r="X18" s="54">
        <f t="shared" si="0"/>
        <v>0</v>
      </c>
    </row>
    <row r="19" spans="1:24" s="2" customFormat="1" ht="15.75" hidden="1" x14ac:dyDescent="0.25">
      <c r="A19" s="42"/>
      <c r="B19" s="45"/>
      <c r="C19" s="11"/>
      <c r="D19" s="11"/>
      <c r="E19" s="11"/>
      <c r="F19" s="12"/>
      <c r="G19" s="12"/>
      <c r="H19" s="11"/>
      <c r="I19" s="12"/>
      <c r="J19" s="12"/>
      <c r="K19" s="11"/>
      <c r="L19" s="11"/>
      <c r="M19" s="43"/>
      <c r="N19" s="56" t="s">
        <v>42</v>
      </c>
      <c r="O19" s="11">
        <f>IF(G10=N19,1,0)</f>
        <v>0</v>
      </c>
      <c r="P19" s="12" t="s">
        <v>12</v>
      </c>
      <c r="Q19" s="49"/>
      <c r="R19" s="52"/>
      <c r="S19" s="53"/>
      <c r="T19" s="53"/>
      <c r="U19" s="53"/>
      <c r="V19" s="54">
        <f>S19*$G22/860</f>
        <v>0</v>
      </c>
      <c r="W19" s="54">
        <f t="shared" ref="W19:X19" si="1">T19*$G22/860</f>
        <v>0</v>
      </c>
      <c r="X19" s="54">
        <f t="shared" si="1"/>
        <v>0</v>
      </c>
    </row>
    <row r="20" spans="1:24" ht="8.25" customHeight="1" x14ac:dyDescent="0.3">
      <c r="A20" s="7"/>
      <c r="B20" s="9"/>
      <c r="C20" s="9"/>
      <c r="D20" s="9"/>
      <c r="E20" s="9"/>
      <c r="F20" s="41"/>
      <c r="G20" s="41"/>
      <c r="H20" s="41"/>
      <c r="I20" s="41"/>
      <c r="J20" s="41"/>
      <c r="K20" s="27"/>
      <c r="L20" s="9"/>
      <c r="M20" s="13"/>
      <c r="N20" s="57"/>
    </row>
    <row r="21" spans="1:24" x14ac:dyDescent="0.25">
      <c r="A21" s="7"/>
      <c r="B21" s="9"/>
      <c r="C21" s="9"/>
      <c r="D21" s="9"/>
      <c r="E21" s="9"/>
      <c r="F21" s="77"/>
      <c r="G21" s="77"/>
      <c r="H21" s="90"/>
      <c r="I21" s="90"/>
      <c r="J21" s="90"/>
      <c r="K21" s="90"/>
      <c r="L21" s="90"/>
      <c r="M21" s="13"/>
    </row>
    <row r="22" spans="1:24" x14ac:dyDescent="0.25">
      <c r="A22" s="7"/>
      <c r="B22" s="9" t="s">
        <v>62</v>
      </c>
      <c r="C22" s="9"/>
      <c r="D22" s="9"/>
      <c r="E22" s="9"/>
      <c r="F22" s="77"/>
      <c r="G22" s="69">
        <v>20</v>
      </c>
      <c r="H22" s="9" t="s">
        <v>1</v>
      </c>
      <c r="I22" s="77"/>
      <c r="J22" s="77"/>
      <c r="K22" s="27"/>
      <c r="L22" s="9"/>
      <c r="M22" s="13"/>
      <c r="N22" s="58"/>
    </row>
    <row r="23" spans="1:24" ht="15.75" x14ac:dyDescent="0.25">
      <c r="A23" s="7"/>
      <c r="B23" s="9" t="s">
        <v>63</v>
      </c>
      <c r="C23" s="9"/>
      <c r="D23" s="9"/>
      <c r="E23" s="9"/>
      <c r="F23" s="77"/>
      <c r="G23" s="69">
        <v>2150</v>
      </c>
      <c r="H23" s="26" t="s">
        <v>2</v>
      </c>
      <c r="I23" s="25"/>
      <c r="J23" s="25"/>
      <c r="K23" s="60"/>
      <c r="L23" s="33"/>
      <c r="M23" s="13"/>
      <c r="N23" s="58"/>
      <c r="P23" s="80"/>
      <c r="Q23" s="14"/>
      <c r="R23" s="14"/>
      <c r="S23" s="14"/>
      <c r="T23" s="14"/>
      <c r="U23" s="14"/>
      <c r="V23" s="14"/>
      <c r="W23" s="14"/>
      <c r="X23" s="14"/>
    </row>
    <row r="24" spans="1:24" x14ac:dyDescent="0.25">
      <c r="A24" s="7"/>
      <c r="B24" s="9"/>
      <c r="C24" s="9"/>
      <c r="D24" s="9"/>
      <c r="E24" s="9"/>
      <c r="F24" s="77"/>
      <c r="G24" s="9"/>
      <c r="H24" s="9"/>
      <c r="I24" s="77"/>
      <c r="J24" s="77"/>
      <c r="K24" s="27"/>
      <c r="L24" s="15"/>
      <c r="M24" s="13"/>
      <c r="N24" s="58"/>
    </row>
    <row r="25" spans="1:24" ht="15.75" x14ac:dyDescent="0.25">
      <c r="A25" s="7"/>
      <c r="B25" s="16" t="s">
        <v>80</v>
      </c>
      <c r="C25" s="9"/>
      <c r="D25" s="9"/>
      <c r="E25" s="38">
        <f>G23*G22/860</f>
        <v>50</v>
      </c>
      <c r="F25" s="24" t="s">
        <v>0</v>
      </c>
      <c r="H25" s="65" t="s">
        <v>64</v>
      </c>
      <c r="I25" s="63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50.255813953488371</v>
      </c>
      <c r="J25" s="66" t="s">
        <v>15</v>
      </c>
      <c r="K25" s="38"/>
      <c r="L25" s="24"/>
      <c r="M25" s="13"/>
      <c r="N25" s="64">
        <f>E25/I25-1</f>
        <v>-5.0902360018509896E-3</v>
      </c>
      <c r="P25" s="36"/>
      <c r="Q25" s="32"/>
      <c r="S25" s="80" t="s">
        <v>10</v>
      </c>
      <c r="T25" s="80" t="s">
        <v>11</v>
      </c>
      <c r="U25" s="80"/>
    </row>
    <row r="26" spans="1:24" x14ac:dyDescent="0.25">
      <c r="A26" s="7"/>
      <c r="B26" s="27"/>
      <c r="C26" s="9"/>
      <c r="D26" s="9"/>
      <c r="E26" s="9"/>
      <c r="F26" s="77"/>
      <c r="G26" s="9"/>
      <c r="H26" s="9"/>
      <c r="I26" s="77"/>
      <c r="J26" s="77"/>
      <c r="K26" s="27"/>
      <c r="L26" s="9"/>
      <c r="M26" s="13"/>
      <c r="P26" s="80" t="s">
        <v>8</v>
      </c>
      <c r="Q26" s="80" t="s">
        <v>7</v>
      </c>
      <c r="R26" s="80" t="s">
        <v>6</v>
      </c>
      <c r="S26" s="80" t="s">
        <v>9</v>
      </c>
      <c r="T26" s="80" t="s">
        <v>9</v>
      </c>
      <c r="U26" s="80"/>
      <c r="V26" s="80" t="s">
        <v>4</v>
      </c>
      <c r="W26" s="80" t="s">
        <v>5</v>
      </c>
      <c r="X26" s="80"/>
    </row>
    <row r="27" spans="1:24" x14ac:dyDescent="0.25">
      <c r="A27" s="7"/>
      <c r="B27" s="9" t="s">
        <v>65</v>
      </c>
      <c r="C27" s="9"/>
      <c r="D27" s="9"/>
      <c r="E27" s="9"/>
      <c r="F27" s="77"/>
      <c r="G27" s="91" t="s">
        <v>45</v>
      </c>
      <c r="H27" s="91"/>
      <c r="I27" s="91"/>
      <c r="J27" s="91"/>
      <c r="K27" s="27"/>
      <c r="L27" s="9"/>
      <c r="M27" s="13"/>
      <c r="N27" s="11" t="s">
        <v>43</v>
      </c>
      <c r="O27" s="11">
        <f>IF(N27=G27,1,0)</f>
        <v>0</v>
      </c>
      <c r="P27" s="12" t="str">
        <f>IF(O27=1,1,"")</f>
        <v/>
      </c>
      <c r="Q27" s="12" t="str">
        <f>IF(O27=1,IF(G23&gt;=R27,2,1),"")</f>
        <v/>
      </c>
      <c r="R27" s="62">
        <v>1400</v>
      </c>
      <c r="S27" s="62">
        <v>-2.2857099999999998E-3</v>
      </c>
      <c r="T27" s="62">
        <v>10.8</v>
      </c>
      <c r="V27" s="62">
        <v>7.6</v>
      </c>
      <c r="W27" s="12">
        <f>G23*S27+T27</f>
        <v>5.885723500000001</v>
      </c>
    </row>
    <row r="28" spans="1:24" s="2" customFormat="1" hidden="1" x14ac:dyDescent="0.25">
      <c r="A28" s="42"/>
      <c r="B28" s="11"/>
      <c r="C28" s="11"/>
      <c r="D28" s="11"/>
      <c r="E28" s="11"/>
      <c r="F28" s="12"/>
      <c r="G28" s="12"/>
      <c r="H28" s="11"/>
      <c r="I28" s="12"/>
      <c r="J28" s="12"/>
      <c r="K28" s="11"/>
      <c r="L28" s="11"/>
      <c r="M28" s="43"/>
      <c r="N28" s="11" t="s">
        <v>44</v>
      </c>
      <c r="O28" s="11">
        <f>IF(N28=G27,1,0)</f>
        <v>0</v>
      </c>
      <c r="P28" s="12" t="str">
        <f>IF(O28=1,2,"")</f>
        <v/>
      </c>
      <c r="Q28" s="12" t="str">
        <f>IF(O28=1,IF(G23&gt;=R28,2,1),"")</f>
        <v/>
      </c>
      <c r="R28" s="62">
        <v>800</v>
      </c>
      <c r="S28" s="62">
        <v>-2.23077E-3</v>
      </c>
      <c r="T28" s="62">
        <v>8.9350000000000005</v>
      </c>
      <c r="U28" s="12"/>
      <c r="V28" s="62">
        <v>7.15</v>
      </c>
      <c r="W28" s="12">
        <f>G23*S28+T28</f>
        <v>4.1388445000000003</v>
      </c>
      <c r="X28" s="12"/>
    </row>
    <row r="29" spans="1:24" s="2" customFormat="1" hidden="1" x14ac:dyDescent="0.25">
      <c r="A29" s="42"/>
      <c r="B29" s="11"/>
      <c r="C29" s="11"/>
      <c r="D29" s="11"/>
      <c r="E29" s="11"/>
      <c r="F29" s="12"/>
      <c r="G29" s="12"/>
      <c r="H29" s="11"/>
      <c r="I29" s="12"/>
      <c r="J29" s="12"/>
      <c r="K29" s="11"/>
      <c r="L29" s="11"/>
      <c r="M29" s="43"/>
      <c r="N29" s="11" t="s">
        <v>45</v>
      </c>
      <c r="O29" s="11">
        <f>IF(N29=G27,1,0)</f>
        <v>1</v>
      </c>
      <c r="P29" s="12">
        <f>IF(O29=1,3,"")</f>
        <v>3</v>
      </c>
      <c r="Q29" s="12">
        <f>IF(O29=1,IF(G23&gt;=R29,2,1),"")</f>
        <v>2</v>
      </c>
      <c r="R29" s="62">
        <v>800</v>
      </c>
      <c r="S29" s="62">
        <v>-2.1538400000000002E-3</v>
      </c>
      <c r="T29" s="62">
        <v>8</v>
      </c>
      <c r="U29" s="12"/>
      <c r="V29" s="62">
        <v>6.3</v>
      </c>
      <c r="W29" s="12">
        <f>G23*S29+T29</f>
        <v>3.3692439999999992</v>
      </c>
      <c r="X29" s="12"/>
    </row>
    <row r="30" spans="1:24" s="2" customFormat="1" ht="18.75" hidden="1" x14ac:dyDescent="0.3">
      <c r="A30" s="42"/>
      <c r="B30" s="11"/>
      <c r="C30" s="11"/>
      <c r="D30" s="11"/>
      <c r="E30" s="11"/>
      <c r="F30" s="44"/>
      <c r="G30" s="44"/>
      <c r="H30" s="44"/>
      <c r="I30" s="44"/>
      <c r="J30" s="44"/>
      <c r="K30" s="11"/>
      <c r="L30" s="11"/>
      <c r="M30" s="43"/>
      <c r="N30" s="57"/>
      <c r="O30" s="11">
        <f>SUM(O27:O29)</f>
        <v>1</v>
      </c>
      <c r="P30" s="12">
        <f>SUM(P27:P29)</f>
        <v>3</v>
      </c>
      <c r="Q30" s="12">
        <f>SUM(Q27:Q29)</f>
        <v>2</v>
      </c>
      <c r="R30" s="12"/>
      <c r="S30" s="12"/>
      <c r="T30" s="12"/>
      <c r="U30" s="12"/>
      <c r="V30" s="12"/>
      <c r="W30" s="12"/>
      <c r="X30" s="12"/>
    </row>
    <row r="31" spans="1:24" ht="8.25" customHeight="1" x14ac:dyDescent="0.25">
      <c r="A31" s="7"/>
      <c r="B31" s="9"/>
      <c r="C31" s="9"/>
      <c r="D31" s="9"/>
      <c r="E31" s="9"/>
      <c r="F31" s="77"/>
      <c r="G31" s="9"/>
      <c r="H31" s="9"/>
      <c r="I31" s="77"/>
      <c r="J31" s="77"/>
      <c r="K31" s="27"/>
      <c r="L31" s="9"/>
      <c r="M31" s="13"/>
    </row>
    <row r="32" spans="1:24" x14ac:dyDescent="0.25">
      <c r="A32" s="7"/>
      <c r="B32" s="9"/>
      <c r="C32" s="9"/>
      <c r="D32" s="9"/>
      <c r="E32" s="9"/>
      <c r="F32" s="77"/>
      <c r="G32" s="9"/>
      <c r="H32" s="17" t="s">
        <v>66</v>
      </c>
      <c r="I32" s="34">
        <f>IF(O30=1,IF(AND(P30=1,Q30=1),V27,IF(AND(P30=1,Q30=2),W27,IF(AND(P30=2,Q30=1),V28,IF(AND(P30=2,Q30=2),W28,IF(AND(P30=3,Q30=1),V29,IF(AND(P30=3,Q30=2),W29,"Errore")))))),"- -")</f>
        <v>3.3692439999999992</v>
      </c>
      <c r="J32" s="9" t="s">
        <v>3</v>
      </c>
      <c r="K32" s="27"/>
      <c r="L32" s="9"/>
      <c r="M32" s="13"/>
    </row>
    <row r="33" spans="1:24" x14ac:dyDescent="0.25">
      <c r="A33" s="7"/>
      <c r="B33" s="9"/>
      <c r="C33" s="9"/>
      <c r="D33" s="9"/>
      <c r="E33" s="9"/>
      <c r="F33" s="77"/>
      <c r="G33" s="9"/>
      <c r="H33" s="17" t="s">
        <v>67</v>
      </c>
      <c r="I33" s="34">
        <f>IF(O30=1,IF(S33&lt;0.2,0.2,S33),"- -")</f>
        <v>0.73656648437499994</v>
      </c>
      <c r="J33" s="9" t="s">
        <v>3</v>
      </c>
      <c r="K33" s="27"/>
      <c r="L33" s="9"/>
      <c r="M33" s="13"/>
      <c r="P33" s="12" t="s">
        <v>12</v>
      </c>
      <c r="Q33" s="32">
        <f>IF(O10=1,Q10,IF(O11=1,Q11,IF(O12=1,Q12,IF(O13=1,Q13,IF(O14=1,Q14,IF(O15=1,Q15,IF(O16=1,Q16,IF(O17=1,Q17,IF(O17=1,Q17,IF(O18=1,Q18,IF(O19=1,Q19,"Errore!")))))))))))</f>
        <v>8</v>
      </c>
      <c r="R33" s="36" t="s">
        <v>13</v>
      </c>
      <c r="S33" s="12">
        <f>(G23/1000/Q33)^2*10.198</f>
        <v>0.73656648437499994</v>
      </c>
    </row>
    <row r="34" spans="1:24" ht="15.75" x14ac:dyDescent="0.25">
      <c r="A34" s="7"/>
      <c r="B34" s="9"/>
      <c r="C34" s="9"/>
      <c r="D34" s="9"/>
      <c r="E34" s="9"/>
      <c r="F34" s="77"/>
      <c r="G34" s="9"/>
      <c r="H34" s="18" t="s">
        <v>68</v>
      </c>
      <c r="I34" s="31">
        <f>IF(O30=1,I32-I33,"- -")</f>
        <v>2.6326775156249993</v>
      </c>
      <c r="J34" s="19" t="s">
        <v>3</v>
      </c>
      <c r="K34" s="55"/>
      <c r="L34" s="9"/>
      <c r="M34" s="13"/>
      <c r="N34" s="40"/>
    </row>
    <row r="35" spans="1:24" ht="9" customHeight="1" x14ac:dyDescent="0.25">
      <c r="A35" s="7"/>
      <c r="B35" s="9"/>
      <c r="C35" s="9"/>
      <c r="D35" s="9"/>
      <c r="E35" s="9"/>
      <c r="F35" s="77"/>
      <c r="G35" s="9"/>
      <c r="H35" s="18"/>
      <c r="I35" s="31"/>
      <c r="J35" s="19"/>
      <c r="K35" s="27"/>
      <c r="L35" s="9"/>
      <c r="M35" s="13"/>
      <c r="N35" s="40"/>
    </row>
    <row r="36" spans="1:24" ht="15.75" x14ac:dyDescent="0.25">
      <c r="A36" s="7"/>
      <c r="B36" s="16" t="str">
        <f>IF(G22&lt;=12,"Rechnung für FBH:","Rechnung für FBH nicht verfügbar wenn Δt &gt; 12 K")</f>
        <v>Rechnung für FBH nicht verfügbar wenn Δt &gt; 12 K</v>
      </c>
      <c r="C36" s="9"/>
      <c r="D36" s="9"/>
      <c r="E36" s="9"/>
      <c r="F36" s="77"/>
      <c r="G36" s="9"/>
      <c r="H36" s="18"/>
      <c r="I36" s="31"/>
      <c r="J36" s="19"/>
      <c r="K36" s="27"/>
      <c r="L36" s="9"/>
      <c r="M36" s="13"/>
      <c r="N36" s="40"/>
      <c r="S36" s="74" t="s">
        <v>41</v>
      </c>
    </row>
    <row r="37" spans="1:24" ht="9" customHeight="1" x14ac:dyDescent="0.25">
      <c r="A37" s="7"/>
      <c r="B37" s="9"/>
      <c r="C37" s="9"/>
      <c r="D37" s="9"/>
      <c r="E37" s="9"/>
      <c r="F37" s="77"/>
      <c r="G37" s="9"/>
      <c r="H37" s="18"/>
      <c r="I37" s="31"/>
      <c r="J37" s="19"/>
      <c r="K37" s="27"/>
      <c r="L37" s="9"/>
      <c r="M37" s="13"/>
      <c r="N37" s="40"/>
      <c r="S37" s="73"/>
    </row>
    <row r="38" spans="1:24" x14ac:dyDescent="0.25">
      <c r="A38" s="7"/>
      <c r="B38" s="9" t="s">
        <v>69</v>
      </c>
      <c r="C38" s="9"/>
      <c r="D38" s="9"/>
      <c r="E38" s="9"/>
      <c r="F38" s="17"/>
      <c r="G38" s="78" t="s">
        <v>20</v>
      </c>
      <c r="H38" s="9"/>
      <c r="I38" s="46" t="str">
        <f>IF(G22&gt;12,"","benutzen Δt=")</f>
        <v/>
      </c>
      <c r="J38" s="19" t="str">
        <f>IF(G22&gt;12,"",IF(G38=N38,P38,IF(G38=N39,P39,IF(G38=N40,P40,""))))</f>
        <v/>
      </c>
      <c r="K38" s="27"/>
      <c r="L38" s="9"/>
      <c r="M38" s="13"/>
      <c r="N38" s="32" t="s">
        <v>19</v>
      </c>
      <c r="O38" s="11">
        <f>IF(N38=G38,1,0)</f>
        <v>0</v>
      </c>
      <c r="P38" s="12" t="s">
        <v>16</v>
      </c>
      <c r="Q38" s="39">
        <f>T38*S38</f>
        <v>34.375</v>
      </c>
      <c r="R38" s="32" t="s">
        <v>14</v>
      </c>
      <c r="S38" s="73">
        <v>1.375</v>
      </c>
      <c r="T38" s="50">
        <v>25</v>
      </c>
      <c r="U38" s="35"/>
      <c r="V38" s="32" t="s">
        <v>14</v>
      </c>
    </row>
    <row r="39" spans="1:24" s="2" customFormat="1" ht="15.75" hidden="1" x14ac:dyDescent="0.25">
      <c r="A39" s="42"/>
      <c r="B39" s="11"/>
      <c r="C39" s="11"/>
      <c r="D39" s="11"/>
      <c r="E39" s="11"/>
      <c r="F39" s="35"/>
      <c r="G39" s="47"/>
      <c r="H39" s="48"/>
      <c r="I39" s="47"/>
      <c r="J39" s="40"/>
      <c r="K39" s="11"/>
      <c r="L39" s="11"/>
      <c r="M39" s="43"/>
      <c r="N39" s="32" t="s">
        <v>20</v>
      </c>
      <c r="O39" s="11">
        <f>IF(N39=G38,1,0)</f>
        <v>1</v>
      </c>
      <c r="P39" s="12" t="s">
        <v>17</v>
      </c>
      <c r="Q39" s="39">
        <f>T39*S39</f>
        <v>110</v>
      </c>
      <c r="R39" s="32" t="s">
        <v>14</v>
      </c>
      <c r="S39" s="73">
        <v>1.375</v>
      </c>
      <c r="T39" s="51">
        <v>80</v>
      </c>
      <c r="U39" s="39"/>
      <c r="V39" s="32" t="s">
        <v>14</v>
      </c>
      <c r="W39" s="12"/>
      <c r="X39" s="12"/>
    </row>
    <row r="40" spans="1:24" s="2" customFormat="1" ht="15.75" hidden="1" x14ac:dyDescent="0.25">
      <c r="A40" s="42"/>
      <c r="B40" s="11"/>
      <c r="C40" s="11"/>
      <c r="D40" s="11"/>
      <c r="E40" s="11"/>
      <c r="F40" s="35"/>
      <c r="G40" s="47"/>
      <c r="H40" s="48"/>
      <c r="I40" s="47"/>
      <c r="J40" s="40"/>
      <c r="K40" s="11"/>
      <c r="L40" s="11"/>
      <c r="M40" s="43"/>
      <c r="N40" s="32" t="s">
        <v>21</v>
      </c>
      <c r="O40" s="11">
        <f>IF(N40=G38,1,0)</f>
        <v>0</v>
      </c>
      <c r="P40" s="12" t="s">
        <v>18</v>
      </c>
      <c r="Q40" s="39">
        <f>T40*S40</f>
        <v>192.5</v>
      </c>
      <c r="R40" s="32" t="s">
        <v>14</v>
      </c>
      <c r="S40" s="73">
        <v>1.375</v>
      </c>
      <c r="T40" s="50">
        <v>140</v>
      </c>
      <c r="U40" s="35"/>
      <c r="V40" s="32" t="s">
        <v>14</v>
      </c>
      <c r="W40" s="12"/>
      <c r="X40" s="12"/>
    </row>
    <row r="41" spans="1:24" s="2" customFormat="1" ht="18.75" hidden="1" x14ac:dyDescent="0.3">
      <c r="A41" s="42"/>
      <c r="B41" s="11"/>
      <c r="C41" s="11"/>
      <c r="D41" s="11"/>
      <c r="E41" s="11"/>
      <c r="F41" s="44"/>
      <c r="G41" s="44"/>
      <c r="H41" s="44"/>
      <c r="I41" s="44"/>
      <c r="J41" s="44"/>
      <c r="K41" s="11"/>
      <c r="L41" s="11"/>
      <c r="M41" s="43"/>
      <c r="N41" s="57"/>
      <c r="O41" s="11">
        <f>SUM(O38:O40)</f>
        <v>1</v>
      </c>
      <c r="P41" s="12">
        <f>SUM(P38:P40)</f>
        <v>0</v>
      </c>
      <c r="Q41" s="35"/>
      <c r="R41" s="12"/>
      <c r="S41" s="12"/>
      <c r="T41" s="12"/>
      <c r="U41" s="12"/>
      <c r="V41" s="12"/>
      <c r="W41" s="12"/>
      <c r="X41" s="12"/>
    </row>
    <row r="42" spans="1:24" ht="9" customHeight="1" x14ac:dyDescent="0.25">
      <c r="A42" s="7"/>
      <c r="B42" s="9"/>
      <c r="C42" s="9"/>
      <c r="D42" s="9"/>
      <c r="E42" s="9"/>
      <c r="F42" s="77"/>
      <c r="G42" s="9"/>
      <c r="H42" s="18"/>
      <c r="I42" s="31"/>
      <c r="J42" s="19"/>
      <c r="K42" s="27"/>
      <c r="L42" s="9"/>
      <c r="M42" s="13"/>
      <c r="N42" s="40"/>
    </row>
    <row r="43" spans="1:24" ht="44.25" customHeight="1" x14ac:dyDescent="0.25">
      <c r="A43" s="7"/>
      <c r="B43" s="92" t="str">
        <f>IF(G22&gt;12,"","Maximale FBH-Oberfläche verwaltbar von jedem Modul, mit einer Temperaturdifferenz in einem angemessenen Verhältnis zu der Klasse der Wärmedämmung ausgewählt:")</f>
        <v/>
      </c>
      <c r="C43" s="92"/>
      <c r="D43" s="92"/>
      <c r="E43" s="92"/>
      <c r="F43" s="92"/>
      <c r="G43" s="92"/>
      <c r="H43" s="92"/>
      <c r="I43" s="61" t="str">
        <f>IF(G22&gt;12,"",IF(G22&lt;=12,IF(O38=1,E25*1000/Q38,IF(O39=1,E25*1000/Q39,IF(O40=1,E25*1000/Q40,"- -"))),"- - "))</f>
        <v/>
      </c>
      <c r="J43" s="37" t="str">
        <f>IF(G22&gt;12,"","m2")</f>
        <v/>
      </c>
      <c r="K43" s="27"/>
      <c r="L43" s="9"/>
      <c r="M43" s="13"/>
      <c r="N43" s="59"/>
      <c r="Q43" s="35"/>
    </row>
    <row r="44" spans="1:24" ht="10.5" customHeight="1" x14ac:dyDescent="0.25">
      <c r="A44" s="20"/>
      <c r="B44" s="21"/>
      <c r="C44" s="21"/>
      <c r="D44" s="21"/>
      <c r="E44" s="21"/>
      <c r="F44" s="72"/>
      <c r="G44" s="21"/>
      <c r="H44" s="21"/>
      <c r="I44" s="72"/>
      <c r="J44" s="72"/>
      <c r="K44" s="28"/>
      <c r="L44" s="21"/>
      <c r="M44" s="23"/>
    </row>
    <row r="45" spans="1:24" s="9" customFormat="1" ht="11.25" customHeight="1" x14ac:dyDescent="0.25">
      <c r="F45" s="77"/>
      <c r="I45" s="77"/>
      <c r="J45" s="77"/>
      <c r="K45" s="27"/>
      <c r="N45" s="11"/>
      <c r="O45" s="11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0.5" customHeight="1" x14ac:dyDescent="0.25">
      <c r="A46" s="3"/>
      <c r="B46" s="4"/>
      <c r="C46" s="4"/>
      <c r="D46" s="4"/>
      <c r="E46" s="4"/>
      <c r="F46" s="5"/>
      <c r="G46" s="4"/>
      <c r="H46" s="4"/>
      <c r="I46" s="5"/>
      <c r="J46" s="5"/>
      <c r="K46" s="30"/>
      <c r="L46" s="4"/>
      <c r="M46" s="6"/>
    </row>
    <row r="47" spans="1:24" ht="18.75" customHeight="1" x14ac:dyDescent="0.25">
      <c r="A47" s="7"/>
      <c r="B47" s="71" t="s">
        <v>32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13"/>
      <c r="N47" s="40"/>
    </row>
    <row r="48" spans="1:24" ht="30" customHeight="1" x14ac:dyDescent="0.25">
      <c r="A48" s="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13"/>
      <c r="N48" s="40"/>
    </row>
    <row r="49" spans="1:14" ht="30" customHeight="1" x14ac:dyDescent="0.25">
      <c r="A49" s="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13"/>
      <c r="N49" s="40"/>
    </row>
    <row r="50" spans="1:14" ht="30" customHeight="1" x14ac:dyDescent="0.25">
      <c r="A50" s="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13"/>
      <c r="N50" s="40"/>
    </row>
    <row r="51" spans="1:14" ht="10.5" customHeight="1" x14ac:dyDescent="0.25">
      <c r="A51" s="20"/>
      <c r="B51" s="21"/>
      <c r="C51" s="21"/>
      <c r="D51" s="21"/>
      <c r="E51" s="21"/>
      <c r="F51" s="72"/>
      <c r="G51" s="21"/>
      <c r="H51" s="21"/>
      <c r="I51" s="72"/>
      <c r="J51" s="72"/>
      <c r="K51" s="28"/>
      <c r="L51" s="21"/>
      <c r="M51" s="23"/>
    </row>
  </sheetData>
  <sheetProtection algorithmName="SHA-512" hashValue="Ap2SfJv6rX0wHiBo0aBvDNFWlD+brLGOdbzjDcJTnjMyPfrP7YPZtWk0AOfOFZt2isRc+iT/EBGkjPdnJm0B3A==" saltValue="TJdyFEC2LPwmTxryxxiFuQ==" spinCount="100000" sheet="1" objects="1" scenarios="1" selectLockedCells="1"/>
  <dataConsolidate/>
  <mergeCells count="21">
    <mergeCell ref="B1:L1"/>
    <mergeCell ref="B2:L2"/>
    <mergeCell ref="S5:U5"/>
    <mergeCell ref="V5:X5"/>
    <mergeCell ref="S6:U6"/>
    <mergeCell ref="V6:X6"/>
    <mergeCell ref="B48:L48"/>
    <mergeCell ref="B49:L49"/>
    <mergeCell ref="B50:L50"/>
    <mergeCell ref="X7:X8"/>
    <mergeCell ref="G10:J10"/>
    <mergeCell ref="H21:L21"/>
    <mergeCell ref="G27:J27"/>
    <mergeCell ref="B43:H43"/>
    <mergeCell ref="C47:L47"/>
    <mergeCell ref="R7:R8"/>
    <mergeCell ref="S7:S8"/>
    <mergeCell ref="T7:T8"/>
    <mergeCell ref="U7:U8"/>
    <mergeCell ref="V7:V8"/>
    <mergeCell ref="W7:W8"/>
  </mergeCells>
  <conditionalFormatting sqref="I34">
    <cfRule type="cellIs" dxfId="3" priority="4" operator="lessThan">
      <formula>0.5</formula>
    </cfRule>
  </conditionalFormatting>
  <conditionalFormatting sqref="K5">
    <cfRule type="cellIs" dxfId="2" priority="3" operator="greaterThan">
      <formula>50</formula>
    </cfRule>
  </conditionalFormatting>
  <conditionalFormatting sqref="E25:F25">
    <cfRule type="expression" dxfId="1" priority="1" stopIfTrue="1">
      <formula>$N$25&gt;=0.1</formula>
    </cfRule>
    <cfRule type="expression" dxfId="0" priority="2">
      <formula>$N$25&gt;0</formula>
    </cfRule>
  </conditionalFormatting>
  <dataValidations count="3">
    <dataValidation type="list" allowBlank="1" showInputMessage="1" showErrorMessage="1" sqref="G38">
      <formula1>$N$38:$N$40</formula1>
    </dataValidation>
    <dataValidation type="list" allowBlank="1" showInputMessage="1" showErrorMessage="1" promptTitle="Scegliere un circolatore" sqref="G27:J27">
      <formula1>$N$27:$N$29</formula1>
    </dataValidation>
    <dataValidation type="list" allowBlank="1" showErrorMessage="1" sqref="G10:J10">
      <formula1>$N$10:$N$15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IT</vt:lpstr>
      <vt:lpstr>EN</vt:lpstr>
      <vt:lpstr>FR</vt:lpstr>
      <vt:lpstr>DE</vt:lpstr>
      <vt:lpstr>DE!Area_stampa</vt:lpstr>
      <vt:lpstr>EN!Area_stampa</vt:lpstr>
      <vt:lpstr>FR!Area_stampa</vt:lpstr>
      <vt:lpstr>IT!Area_stampa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Merlo - BRV</dc:creator>
  <cp:lastModifiedBy>Maurizio Merlo - BRV</cp:lastModifiedBy>
  <cp:lastPrinted>2016-02-01T07:52:22Z</cp:lastPrinted>
  <dcterms:created xsi:type="dcterms:W3CDTF">2015-06-15T15:19:17Z</dcterms:created>
  <dcterms:modified xsi:type="dcterms:W3CDTF">2016-03-09T08:46:07Z</dcterms:modified>
</cp:coreProperties>
</file>