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Backup 2019.03.09\Documentazione\Solare Termico\Moduli Idraulici_OK\Sizing Tool\"/>
    </mc:Choice>
  </mc:AlternateContent>
  <xr:revisionPtr revIDLastSave="0" documentId="8_{F4C62176-E841-47A4-9A59-7C47EE36896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IT" sheetId="2" r:id="rId1"/>
    <sheet name="EN" sheetId="3" r:id="rId2"/>
    <sheet name="FR" sheetId="4" r:id="rId3"/>
    <sheet name="DE" sheetId="5" r:id="rId4"/>
  </sheets>
  <definedNames>
    <definedName name="_xlnm.Print_Area" localSheetId="3">DE!$A$1:$M$51</definedName>
    <definedName name="_xlnm.Print_Area" localSheetId="1">EN!$A$1:$M$51</definedName>
    <definedName name="_xlnm.Print_Area" localSheetId="2">FR!$A$1:$M$51</definedName>
    <definedName name="_xlnm.Print_Area" localSheetId="0">IT!$A$1:$M$51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5" l="1"/>
  <c r="I38" i="5"/>
  <c r="B36" i="5"/>
  <c r="J43" i="5"/>
  <c r="I43" i="5"/>
  <c r="P41" i="5"/>
  <c r="Q40" i="5"/>
  <c r="O40" i="5"/>
  <c r="Q39" i="5"/>
  <c r="O39" i="5"/>
  <c r="Q38" i="5"/>
  <c r="O38" i="5"/>
  <c r="J38" i="5"/>
  <c r="W29" i="5"/>
  <c r="O29" i="5"/>
  <c r="Q29" i="5" s="1"/>
  <c r="W28" i="5"/>
  <c r="O28" i="5"/>
  <c r="P28" i="5" s="1"/>
  <c r="W27" i="5"/>
  <c r="O27" i="5"/>
  <c r="P27" i="5" s="1"/>
  <c r="E25" i="5"/>
  <c r="X19" i="5"/>
  <c r="W19" i="5"/>
  <c r="V19" i="5"/>
  <c r="O19" i="5"/>
  <c r="X18" i="5"/>
  <c r="W18" i="5"/>
  <c r="V18" i="5"/>
  <c r="O18" i="5"/>
  <c r="X17" i="5"/>
  <c r="W17" i="5"/>
  <c r="V17" i="5"/>
  <c r="O17" i="5"/>
  <c r="X16" i="5"/>
  <c r="W16" i="5"/>
  <c r="V16" i="5"/>
  <c r="O16" i="5"/>
  <c r="X15" i="5"/>
  <c r="W15" i="5"/>
  <c r="V15" i="5"/>
  <c r="O15" i="5"/>
  <c r="X14" i="5"/>
  <c r="W14" i="5"/>
  <c r="V14" i="5"/>
  <c r="O14" i="5"/>
  <c r="X13" i="5"/>
  <c r="W13" i="5"/>
  <c r="V13" i="5"/>
  <c r="O13" i="5"/>
  <c r="X12" i="5"/>
  <c r="W12" i="5"/>
  <c r="V12" i="5"/>
  <c r="O12" i="5"/>
  <c r="X11" i="5"/>
  <c r="W11" i="5"/>
  <c r="V11" i="5"/>
  <c r="O11" i="5"/>
  <c r="X10" i="5"/>
  <c r="W10" i="5"/>
  <c r="V10" i="5"/>
  <c r="O10" i="5"/>
  <c r="Q33" i="5" s="1"/>
  <c r="S33" i="5" s="1"/>
  <c r="I38" i="4"/>
  <c r="B43" i="4"/>
  <c r="B36" i="4"/>
  <c r="J43" i="4"/>
  <c r="I43" i="4"/>
  <c r="P41" i="4"/>
  <c r="Q40" i="4"/>
  <c r="O40" i="4"/>
  <c r="Q39" i="4"/>
  <c r="O39" i="4"/>
  <c r="Q38" i="4"/>
  <c r="O38" i="4"/>
  <c r="J38" i="4"/>
  <c r="W29" i="4"/>
  <c r="O29" i="4"/>
  <c r="Q29" i="4" s="1"/>
  <c r="W28" i="4"/>
  <c r="O28" i="4"/>
  <c r="Q28" i="4" s="1"/>
  <c r="W27" i="4"/>
  <c r="O27" i="4"/>
  <c r="O30" i="4" s="1"/>
  <c r="E25" i="4"/>
  <c r="X19" i="4"/>
  <c r="W19" i="4"/>
  <c r="V19" i="4"/>
  <c r="O19" i="4"/>
  <c r="X18" i="4"/>
  <c r="W18" i="4"/>
  <c r="V18" i="4"/>
  <c r="O18" i="4"/>
  <c r="X17" i="4"/>
  <c r="W17" i="4"/>
  <c r="V17" i="4"/>
  <c r="O17" i="4"/>
  <c r="X16" i="4"/>
  <c r="W16" i="4"/>
  <c r="V16" i="4"/>
  <c r="O16" i="4"/>
  <c r="X15" i="4"/>
  <c r="W15" i="4"/>
  <c r="V15" i="4"/>
  <c r="O15" i="4"/>
  <c r="X14" i="4"/>
  <c r="W14" i="4"/>
  <c r="V14" i="4"/>
  <c r="O14" i="4"/>
  <c r="X13" i="4"/>
  <c r="W13" i="4"/>
  <c r="V13" i="4"/>
  <c r="O13" i="4"/>
  <c r="X12" i="4"/>
  <c r="W12" i="4"/>
  <c r="V12" i="4"/>
  <c r="O12" i="4"/>
  <c r="X11" i="4"/>
  <c r="W11" i="4"/>
  <c r="V11" i="4"/>
  <c r="O11" i="4"/>
  <c r="X10" i="4"/>
  <c r="W10" i="4"/>
  <c r="V10" i="4"/>
  <c r="O10" i="4"/>
  <c r="B36" i="3"/>
  <c r="O41" i="5" l="1"/>
  <c r="P29" i="5"/>
  <c r="P30" i="5" s="1"/>
  <c r="I25" i="4"/>
  <c r="N25" i="4" s="1"/>
  <c r="O41" i="4"/>
  <c r="I25" i="5"/>
  <c r="N25" i="5" s="1"/>
  <c r="Q27" i="5"/>
  <c r="Q28" i="5"/>
  <c r="O30" i="5"/>
  <c r="P27" i="4"/>
  <c r="P28" i="4"/>
  <c r="P29" i="4"/>
  <c r="Q33" i="4"/>
  <c r="S33" i="4" s="1"/>
  <c r="I33" i="4" s="1"/>
  <c r="Q27" i="4"/>
  <c r="Q30" i="4" s="1"/>
  <c r="P30" i="4" l="1"/>
  <c r="I32" i="4" s="1"/>
  <c r="I34" i="4" s="1"/>
  <c r="I33" i="5"/>
  <c r="Q30" i="5"/>
  <c r="I32" i="5" s="1"/>
  <c r="I34" i="5" l="1"/>
  <c r="I38" i="3"/>
  <c r="B43" i="3"/>
  <c r="J43" i="3"/>
  <c r="P41" i="3"/>
  <c r="Q40" i="3"/>
  <c r="O40" i="3"/>
  <c r="Q39" i="3"/>
  <c r="O39" i="3"/>
  <c r="Q38" i="3"/>
  <c r="O38" i="3"/>
  <c r="J38" i="3"/>
  <c r="W29" i="3"/>
  <c r="O29" i="3"/>
  <c r="P29" i="3" s="1"/>
  <c r="W28" i="3"/>
  <c r="O28" i="3"/>
  <c r="P28" i="3" s="1"/>
  <c r="W27" i="3"/>
  <c r="O27" i="3"/>
  <c r="P27" i="3" s="1"/>
  <c r="E25" i="3"/>
  <c r="X19" i="3"/>
  <c r="W19" i="3"/>
  <c r="V19" i="3"/>
  <c r="O19" i="3"/>
  <c r="X18" i="3"/>
  <c r="W18" i="3"/>
  <c r="V18" i="3"/>
  <c r="O18" i="3"/>
  <c r="X17" i="3"/>
  <c r="W17" i="3"/>
  <c r="V17" i="3"/>
  <c r="O17" i="3"/>
  <c r="X16" i="3"/>
  <c r="W16" i="3"/>
  <c r="V16" i="3"/>
  <c r="O16" i="3"/>
  <c r="X15" i="3"/>
  <c r="W15" i="3"/>
  <c r="V15" i="3"/>
  <c r="O15" i="3"/>
  <c r="X14" i="3"/>
  <c r="W14" i="3"/>
  <c r="V14" i="3"/>
  <c r="O14" i="3"/>
  <c r="X13" i="3"/>
  <c r="W13" i="3"/>
  <c r="V13" i="3"/>
  <c r="O13" i="3"/>
  <c r="X12" i="3"/>
  <c r="W12" i="3"/>
  <c r="V12" i="3"/>
  <c r="O12" i="3"/>
  <c r="X11" i="3"/>
  <c r="W11" i="3"/>
  <c r="V11" i="3"/>
  <c r="O11" i="3"/>
  <c r="X10" i="3"/>
  <c r="W10" i="3"/>
  <c r="V10" i="3"/>
  <c r="O10" i="3"/>
  <c r="Q33" i="3" s="1"/>
  <c r="S33" i="3" s="1"/>
  <c r="O41" i="3" l="1"/>
  <c r="Q27" i="3"/>
  <c r="Q29" i="3"/>
  <c r="Q28" i="3"/>
  <c r="Q30" i="3" s="1"/>
  <c r="I25" i="3"/>
  <c r="N25" i="3" s="1"/>
  <c r="P30" i="3"/>
  <c r="O30" i="3"/>
  <c r="I43" i="3"/>
  <c r="I32" i="3" l="1"/>
  <c r="I33" i="3"/>
  <c r="I34" i="3" l="1"/>
  <c r="O28" i="2"/>
  <c r="P28" i="2" s="1"/>
  <c r="W28" i="2"/>
  <c r="O29" i="2"/>
  <c r="P29" i="2" s="1"/>
  <c r="W29" i="2"/>
  <c r="O39" i="2"/>
  <c r="Q39" i="2"/>
  <c r="O40" i="2"/>
  <c r="Q40" i="2"/>
  <c r="P41" i="2"/>
  <c r="Q29" i="2" l="1"/>
  <c r="Q28" i="2"/>
  <c r="E25" i="2"/>
  <c r="O18" i="2"/>
  <c r="V18" i="2"/>
  <c r="W18" i="2"/>
  <c r="X18" i="2"/>
  <c r="O19" i="2"/>
  <c r="V19" i="2"/>
  <c r="W19" i="2"/>
  <c r="X19" i="2"/>
  <c r="O13" i="2"/>
  <c r="V10" i="2"/>
  <c r="I43" i="2" l="1"/>
  <c r="I38" i="2"/>
  <c r="B43" i="2"/>
  <c r="B36" i="2"/>
  <c r="J43" i="2"/>
  <c r="Q38" i="2"/>
  <c r="O38" i="2"/>
  <c r="O41" i="2" s="1"/>
  <c r="J38" i="2"/>
  <c r="W27" i="2"/>
  <c r="O27" i="2"/>
  <c r="X17" i="2"/>
  <c r="W17" i="2"/>
  <c r="V17" i="2"/>
  <c r="O17" i="2"/>
  <c r="X16" i="2"/>
  <c r="W16" i="2"/>
  <c r="V16" i="2"/>
  <c r="O16" i="2"/>
  <c r="X15" i="2"/>
  <c r="W15" i="2"/>
  <c r="V15" i="2"/>
  <c r="O15" i="2"/>
  <c r="X14" i="2"/>
  <c r="W14" i="2"/>
  <c r="V14" i="2"/>
  <c r="O14" i="2"/>
  <c r="X13" i="2"/>
  <c r="W13" i="2"/>
  <c r="V13" i="2"/>
  <c r="X12" i="2"/>
  <c r="W12" i="2"/>
  <c r="V12" i="2"/>
  <c r="O12" i="2"/>
  <c r="X11" i="2"/>
  <c r="W11" i="2"/>
  <c r="V11" i="2"/>
  <c r="O11" i="2"/>
  <c r="X10" i="2"/>
  <c r="W10" i="2"/>
  <c r="O10" i="2"/>
  <c r="Q27" i="2" l="1"/>
  <c r="Q30" i="2" s="1"/>
  <c r="O30" i="2"/>
  <c r="I25" i="2"/>
  <c r="N25" i="2" s="1"/>
  <c r="Q33" i="2"/>
  <c r="S33" i="2" s="1"/>
  <c r="P27" i="2"/>
  <c r="P30" i="2" s="1"/>
  <c r="I33" i="2" l="1"/>
  <c r="I32" i="2"/>
  <c r="I34" i="2" l="1"/>
</calcChain>
</file>

<file path=xl/sharedStrings.xml><?xml version="1.0" encoding="utf-8"?>
<sst xmlns="http://schemas.openxmlformats.org/spreadsheetml/2006/main" count="324" uniqueCount="86">
  <si>
    <t>kW</t>
  </si>
  <si>
    <t>K</t>
  </si>
  <si>
    <t>L/h</t>
  </si>
  <si>
    <t>m</t>
  </si>
  <si>
    <t>Prevalenza Parte 1</t>
  </si>
  <si>
    <t>Prevalenza Parte 2</t>
  </si>
  <si>
    <t>Limite</t>
  </si>
  <si>
    <t>Parte della curva</t>
  </si>
  <si>
    <t>Curva n.</t>
  </si>
  <si>
    <t>Curva 2</t>
  </si>
  <si>
    <t>Rapporto Δy/Δx</t>
  </si>
  <si>
    <t>Scostamento y</t>
  </si>
  <si>
    <t>Kvs:</t>
  </si>
  <si>
    <t>Curva modulo:</t>
  </si>
  <si>
    <t>W/m2</t>
  </si>
  <si>
    <t>kW )</t>
  </si>
  <si>
    <t>4 K</t>
  </si>
  <si>
    <t>8K</t>
  </si>
  <si>
    <t>12 K</t>
  </si>
  <si>
    <t>A</t>
  </si>
  <si>
    <t>D</t>
  </si>
  <si>
    <t>G</t>
  </si>
  <si>
    <t>RS 7,5</t>
  </si>
  <si>
    <t>UPM3</t>
  </si>
  <si>
    <t>RS 6</t>
  </si>
  <si>
    <t>Portata per prevalenza residua voluta</t>
  </si>
  <si>
    <t>ricavata per tentativi</t>
  </si>
  <si>
    <t>Potenza corrispondente alla prevalenza residua voluta</t>
  </si>
  <si>
    <t>ricavata considerando il Δt impostato</t>
  </si>
  <si>
    <t>Prevalenza</t>
  </si>
  <si>
    <t>voluta [m]</t>
  </si>
  <si>
    <t>minima residua</t>
  </si>
  <si>
    <t>Note:</t>
  </si>
  <si>
    <r>
      <t xml:space="preserve">Salto termico Δt </t>
    </r>
    <r>
      <rPr>
        <sz val="10"/>
        <color theme="1"/>
        <rFont val="Arial Narrow"/>
        <family val="2"/>
      </rPr>
      <t>(calcolo sottopavimento se ≤ 12K)</t>
    </r>
    <r>
      <rPr>
        <sz val="11"/>
        <color theme="1"/>
        <rFont val="Calibri"/>
        <family val="2"/>
        <scheme val="minor"/>
      </rPr>
      <t>:</t>
    </r>
  </si>
  <si>
    <t>Portata richiesta [l/h]:</t>
  </si>
  <si>
    <t>( Max. consigliato:</t>
  </si>
  <si>
    <t>Modello di circolatore:</t>
  </si>
  <si>
    <t>Prevalenza del circolatore alla portata scelta:</t>
  </si>
  <si>
    <t>Perdite di carico del modulo alla portata scelta:</t>
  </si>
  <si>
    <t>Prevalenza residua per il circuito:</t>
  </si>
  <si>
    <t>Classe d'isolamento dell'edificio:</t>
  </si>
  <si>
    <t>MODULI IDRAULICI DN25</t>
  </si>
  <si>
    <t>M2 / M3</t>
  </si>
  <si>
    <t>M2 MIX3 / M3 MIX3</t>
  </si>
  <si>
    <t>M2 MIX33 / M3 MIX33</t>
  </si>
  <si>
    <t>M2 MIX4 / M3 MIX4</t>
  </si>
  <si>
    <t>M2 FIX3 / M3 FIX3  F1/F2</t>
  </si>
  <si>
    <t>M2 FIX3 / M3 FIX3  F3/F4</t>
  </si>
  <si>
    <t>M2 MIX3 FIX / M3 MIX3 FIX</t>
  </si>
  <si>
    <t>CLIMA 3M - 4 - 5 - 6</t>
  </si>
  <si>
    <t>Coeff. Per DN25</t>
  </si>
  <si>
    <t>-</t>
  </si>
  <si>
    <t>Grundfos UPM3 Auto L 25-70</t>
  </si>
  <si>
    <t>DN25 PUMP UNITS</t>
  </si>
  <si>
    <r>
      <t xml:space="preserve">Rise in temperature Δt </t>
    </r>
    <r>
      <rPr>
        <sz val="10"/>
        <color theme="1"/>
        <rFont val="Arial Narrow"/>
        <family val="2"/>
      </rPr>
      <t>(underfloor calculation if ≤ 12K)</t>
    </r>
    <r>
      <rPr>
        <sz val="11"/>
        <color theme="1"/>
        <rFont val="Calibri"/>
        <family val="2"/>
        <scheme val="minor"/>
      </rPr>
      <t>:</t>
    </r>
  </si>
  <si>
    <t>Required flow [l/h]:</t>
  </si>
  <si>
    <t>( Max. recommended:</t>
  </si>
  <si>
    <t>Type of circulating pump:</t>
  </si>
  <si>
    <t>Lifting power of the circ. pump at the selected flow:</t>
  </si>
  <si>
    <t>Head losses of the pump unit at the selected flow:</t>
  </si>
  <si>
    <t>Residual lifting power for the loop:</t>
  </si>
  <si>
    <t>Class of insulation of the building:</t>
  </si>
  <si>
    <t>MODULES HYDRAULIQUES DN25</t>
  </si>
  <si>
    <r>
      <t xml:space="preserve">Saute thermique Δt </t>
    </r>
    <r>
      <rPr>
        <sz val="10"/>
        <color theme="1"/>
        <rFont val="Arial Narrow"/>
        <family val="2"/>
      </rPr>
      <t>(calcul plancher chauffant si ≤ 12K)</t>
    </r>
    <r>
      <rPr>
        <sz val="11"/>
        <color theme="1"/>
        <rFont val="Calibri"/>
        <family val="2"/>
        <scheme val="minor"/>
      </rPr>
      <t>:</t>
    </r>
  </si>
  <si>
    <t>Débit nécessaire [l/h]:</t>
  </si>
  <si>
    <t>( Max conseillé:</t>
  </si>
  <si>
    <t>Modèle de circulateur:</t>
  </si>
  <si>
    <t>Hauteur d’élévation du circulateur au débit choisi:</t>
  </si>
  <si>
    <t>Pertes de charge du module au débit choisi:</t>
  </si>
  <si>
    <t>Hauteur d’élévation résiduelle pour le circuit:</t>
  </si>
  <si>
    <t>Classe d’isolation thermique du bâtiment:</t>
  </si>
  <si>
    <r>
      <t xml:space="preserve">Temperaturdifferenz Δt </t>
    </r>
    <r>
      <rPr>
        <sz val="10"/>
        <color theme="1"/>
        <rFont val="Arial Narrow"/>
        <family val="2"/>
      </rPr>
      <t>(FBH wenn ≤ 12K)</t>
    </r>
    <r>
      <rPr>
        <sz val="11"/>
        <color theme="1"/>
        <rFont val="Calibri"/>
        <family val="2"/>
        <scheme val="minor"/>
      </rPr>
      <t>:</t>
    </r>
  </si>
  <si>
    <t>Erforderlicher Durchfluss [l/h]:</t>
  </si>
  <si>
    <t>( Max. empfohlen:</t>
  </si>
  <si>
    <t>Ausführung der Umwälzpumpe:</t>
  </si>
  <si>
    <t>Förderhöhe der Pumpe auf den gewünschten Duchfluss:</t>
  </si>
  <si>
    <t>Druckverluste des Moduls auf den gewünschten Durchfluss:</t>
  </si>
  <si>
    <t>Restförderhöhe für dien Heizkreis:</t>
  </si>
  <si>
    <t>Isolationsklasse Gebäude:</t>
  </si>
  <si>
    <t>DN25 PUMPENGRUPPEN</t>
  </si>
  <si>
    <t>Potenza:</t>
  </si>
  <si>
    <t>Power:</t>
  </si>
  <si>
    <t>Puissance:</t>
  </si>
  <si>
    <t>Leistung:</t>
  </si>
  <si>
    <t>Wilo Yonos Para RS 25/7,5</t>
  </si>
  <si>
    <t>Wilo Yonos Para RS 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</si>
</sst>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00000000_-;\-* #,##0.000000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1"/>
      <color rgb="FFFF0000"/>
      <name val="Calibri"/>
      <family val="2"/>
      <scheme val="minor"/>
    </font>
    <font>
      <i/>
      <sz val="10"/>
      <name val="Arial Narrow"/>
      <family val="2"/>
    </font>
    <font>
      <b/>
      <i/>
      <sz val="14"/>
      <color theme="5"/>
      <name val="Times New Roman"/>
      <family val="1"/>
    </font>
    <font>
      <sz val="11"/>
      <color rgb="FF0070C0"/>
      <name val="Calibri"/>
      <family val="2"/>
      <scheme val="minor"/>
    </font>
    <font>
      <i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3" borderId="0" xfId="0" applyFill="1" applyAlignment="1">
      <alignment horizontal="center"/>
    </xf>
    <xf numFmtId="0" fontId="0" fillId="0" borderId="5" xfId="0" applyBorder="1"/>
    <xf numFmtId="164" fontId="0" fillId="3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0" xfId="0" applyFont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right"/>
    </xf>
    <xf numFmtId="0" fontId="6" fillId="3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165" fontId="1" fillId="0" borderId="0" xfId="0" applyNumberFormat="1" applyFont="1"/>
    <xf numFmtId="0" fontId="1" fillId="3" borderId="0" xfId="0" applyFont="1" applyFill="1" applyAlignment="1">
      <alignment horizontal="right"/>
    </xf>
    <xf numFmtId="0" fontId="7" fillId="3" borderId="0" xfId="0" applyFont="1" applyFill="1"/>
    <xf numFmtId="0" fontId="5" fillId="0" borderId="0" xfId="0" applyFont="1"/>
    <xf numFmtId="0" fontId="0" fillId="3" borderId="4" xfId="0" applyFill="1" applyBorder="1"/>
    <xf numFmtId="0" fontId="0" fillId="3" borderId="5" xfId="0" applyFill="1" applyBorder="1"/>
    <xf numFmtId="0" fontId="5" fillId="3" borderId="0" xfId="0" applyFont="1" applyFill="1"/>
    <xf numFmtId="0" fontId="2" fillId="3" borderId="0" xfId="0" applyFont="1" applyFill="1"/>
    <xf numFmtId="0" fontId="10" fillId="0" borderId="0" xfId="0" applyFont="1" applyAlignment="1">
      <alignment horizontal="right"/>
    </xf>
    <xf numFmtId="165" fontId="8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15" fillId="0" borderId="0" xfId="0" applyFont="1"/>
    <xf numFmtId="0" fontId="12" fillId="3" borderId="0" xfId="0" applyFont="1" applyFill="1"/>
    <xf numFmtId="0" fontId="5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5" fillId="3" borderId="0" xfId="0" applyFont="1" applyFill="1" applyAlignment="1">
      <alignment horizontal="left" vertical="center"/>
    </xf>
    <xf numFmtId="164" fontId="9" fillId="0" borderId="0" xfId="0" applyNumberFormat="1" applyFont="1"/>
    <xf numFmtId="1" fontId="1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/>
    </xf>
    <xf numFmtId="165" fontId="13" fillId="0" borderId="0" xfId="0" applyNumberFormat="1" applyFont="1" applyAlignment="1">
      <alignment horizontal="center"/>
    </xf>
    <xf numFmtId="166" fontId="3" fillId="3" borderId="0" xfId="1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5" borderId="0" xfId="0" applyFill="1" applyAlignment="1">
      <alignment horizontal="center"/>
    </xf>
    <xf numFmtId="0" fontId="6" fillId="5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17" fillId="0" borderId="2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top" wrapText="1"/>
    </xf>
    <xf numFmtId="0" fontId="14" fillId="4" borderId="0" xfId="0" applyFont="1" applyFill="1" applyAlignment="1">
      <alignment horizontal="center"/>
    </xf>
  </cellXfs>
  <cellStyles count="2">
    <cellStyle name="Migliaia" xfId="1" builtinId="3"/>
    <cellStyle name="Normale" xfId="0" builtinId="0"/>
  </cellStyles>
  <dxfs count="16"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3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</xdr:row>
      <xdr:rowOff>485775</xdr:rowOff>
    </xdr:from>
    <xdr:to>
      <xdr:col>4</xdr:col>
      <xdr:colOff>851535</xdr:colOff>
      <xdr:row>4</xdr:row>
      <xdr:rowOff>165735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447800"/>
          <a:ext cx="1661160" cy="234696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1</xdr:row>
      <xdr:rowOff>190500</xdr:rowOff>
    </xdr:from>
    <xdr:to>
      <xdr:col>9</xdr:col>
      <xdr:colOff>38100</xdr:colOff>
      <xdr:row>6</xdr:row>
      <xdr:rowOff>9190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152525"/>
          <a:ext cx="1790700" cy="286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</xdr:row>
      <xdr:rowOff>485775</xdr:rowOff>
    </xdr:from>
    <xdr:to>
      <xdr:col>4</xdr:col>
      <xdr:colOff>851535</xdr:colOff>
      <xdr:row>4</xdr:row>
      <xdr:rowOff>165735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447800"/>
          <a:ext cx="1661160" cy="234696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1</xdr:row>
      <xdr:rowOff>190500</xdr:rowOff>
    </xdr:from>
    <xdr:to>
      <xdr:col>9</xdr:col>
      <xdr:colOff>38100</xdr:colOff>
      <xdr:row>6</xdr:row>
      <xdr:rowOff>9190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152525"/>
          <a:ext cx="1790700" cy="2866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</xdr:row>
      <xdr:rowOff>485775</xdr:rowOff>
    </xdr:from>
    <xdr:to>
      <xdr:col>4</xdr:col>
      <xdr:colOff>851535</xdr:colOff>
      <xdr:row>4</xdr:row>
      <xdr:rowOff>165735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447800"/>
          <a:ext cx="1661160" cy="234696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1</xdr:row>
      <xdr:rowOff>190500</xdr:rowOff>
    </xdr:from>
    <xdr:to>
      <xdr:col>9</xdr:col>
      <xdr:colOff>38100</xdr:colOff>
      <xdr:row>6</xdr:row>
      <xdr:rowOff>9190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152525"/>
          <a:ext cx="1790700" cy="2866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197644</xdr:colOff>
      <xdr:row>0</xdr:row>
      <xdr:rowOff>181928</xdr:rowOff>
    </xdr:from>
    <xdr:to>
      <xdr:col>7</xdr:col>
      <xdr:colOff>240507</xdr:colOff>
      <xdr:row>0</xdr:row>
      <xdr:rowOff>650736</xdr:rowOff>
    </xdr:to>
    <xdr:pic>
      <xdr:nvPicPr>
        <xdr:cNvPr id="2" name="Picture 2" descr="C:\LAVORI\Calcolo costi orari di produzione e listini\Listino ModvlvS 2009\Immagini per listino\Logo modulus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181928"/>
          <a:ext cx="1947863" cy="46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1</xdr:row>
      <xdr:rowOff>485775</xdr:rowOff>
    </xdr:from>
    <xdr:to>
      <xdr:col>4</xdr:col>
      <xdr:colOff>851535</xdr:colOff>
      <xdr:row>4</xdr:row>
      <xdr:rowOff>165735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447800"/>
          <a:ext cx="1661160" cy="234696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1</xdr:row>
      <xdr:rowOff>190500</xdr:rowOff>
    </xdr:from>
    <xdr:to>
      <xdr:col>9</xdr:col>
      <xdr:colOff>38100</xdr:colOff>
      <xdr:row>6</xdr:row>
      <xdr:rowOff>9190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1152525"/>
          <a:ext cx="1790700" cy="286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67" t="s">
        <v>41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"/>
    </row>
    <row r="2" spans="1:24" ht="188.25" customHeight="1" x14ac:dyDescent="0.3">
      <c r="A2" s="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0"/>
    </row>
    <row r="3" spans="1:24" ht="11.25" customHeight="1" x14ac:dyDescent="0.3">
      <c r="A3" s="7"/>
      <c r="M3" s="10"/>
    </row>
    <row r="4" spans="1:24" ht="10.5" customHeight="1" x14ac:dyDescent="0.3">
      <c r="A4" s="7"/>
      <c r="M4" s="10"/>
    </row>
    <row r="5" spans="1:24" x14ac:dyDescent="0.3">
      <c r="A5" s="7"/>
      <c r="B5" s="21"/>
      <c r="K5" s="30"/>
      <c r="L5" s="21"/>
      <c r="M5" s="10"/>
      <c r="R5" s="59" t="s">
        <v>29</v>
      </c>
      <c r="S5" s="68" t="s">
        <v>25</v>
      </c>
      <c r="T5" s="68"/>
      <c r="U5" s="68"/>
      <c r="V5" s="69" t="s">
        <v>27</v>
      </c>
      <c r="W5" s="69"/>
      <c r="X5" s="69"/>
    </row>
    <row r="6" spans="1:24" x14ac:dyDescent="0.3">
      <c r="A6" s="7"/>
      <c r="M6" s="10"/>
      <c r="R6" s="59" t="s">
        <v>31</v>
      </c>
      <c r="S6" s="68" t="s">
        <v>26</v>
      </c>
      <c r="T6" s="68"/>
      <c r="U6" s="68"/>
      <c r="V6" s="69" t="s">
        <v>28</v>
      </c>
      <c r="W6" s="69"/>
      <c r="X6" s="69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68" t="s">
        <v>30</v>
      </c>
      <c r="S7" s="78" t="s">
        <v>22</v>
      </c>
      <c r="T7" s="78" t="s">
        <v>23</v>
      </c>
      <c r="U7" s="78" t="s">
        <v>24</v>
      </c>
      <c r="V7" s="73" t="s">
        <v>22</v>
      </c>
      <c r="W7" s="73" t="s">
        <v>23</v>
      </c>
      <c r="X7" s="73" t="s">
        <v>24</v>
      </c>
    </row>
    <row r="8" spans="1:24" ht="11.25" customHeight="1" x14ac:dyDescent="0.3">
      <c r="R8" s="68"/>
      <c r="S8" s="78"/>
      <c r="T8" s="78"/>
      <c r="U8" s="78"/>
      <c r="V8" s="73"/>
      <c r="W8" s="73"/>
      <c r="X8" s="73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/>
      <c r="G10" s="74" t="s">
        <v>42</v>
      </c>
      <c r="H10" s="74"/>
      <c r="I10" s="74"/>
      <c r="J10" s="74"/>
      <c r="M10" s="10"/>
      <c r="N10" s="47" t="s">
        <v>42</v>
      </c>
      <c r="O10" s="2">
        <f>IF(G10=N10,1,0)</f>
        <v>1</v>
      </c>
      <c r="P10" s="9" t="s">
        <v>12</v>
      </c>
      <c r="Q10" s="41">
        <v>8</v>
      </c>
      <c r="R10" s="44">
        <v>2.6</v>
      </c>
      <c r="S10" s="65">
        <v>2972</v>
      </c>
      <c r="T10" s="65">
        <v>2421</v>
      </c>
      <c r="U10" s="65">
        <v>2161</v>
      </c>
      <c r="V10" s="45">
        <f>S10*$G22/860</f>
        <v>69.116279069767444</v>
      </c>
      <c r="W10" s="45">
        <f>T10*$G22/860</f>
        <v>56.302325581395351</v>
      </c>
      <c r="X10" s="45">
        <f>U10*$G22/860</f>
        <v>50.255813953488371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43</v>
      </c>
      <c r="O11" s="2">
        <f>IF(G10=N11,1,0)</f>
        <v>0</v>
      </c>
      <c r="P11" s="9" t="s">
        <v>12</v>
      </c>
      <c r="Q11" s="41">
        <v>6</v>
      </c>
      <c r="R11" s="44">
        <v>4.0999999999999996</v>
      </c>
      <c r="S11" s="65">
        <v>2284</v>
      </c>
      <c r="T11" s="65">
        <v>1770</v>
      </c>
      <c r="U11" s="65">
        <v>1511</v>
      </c>
      <c r="V11" s="45">
        <f>S11*$G22/860</f>
        <v>53.116279069767444</v>
      </c>
      <c r="W11" s="45">
        <f>T11*$G22/860</f>
        <v>41.162790697674417</v>
      </c>
      <c r="X11" s="45">
        <f>U11*$G22/860</f>
        <v>35.139534883720927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44</v>
      </c>
      <c r="O12" s="2">
        <f>IF(G10=N12,1,0)</f>
        <v>0</v>
      </c>
      <c r="P12" s="9" t="s">
        <v>12</v>
      </c>
      <c r="Q12" s="41">
        <v>7</v>
      </c>
      <c r="R12" s="44">
        <v>2.2999999999999998</v>
      </c>
      <c r="S12" s="65">
        <v>2935</v>
      </c>
      <c r="T12" s="65">
        <v>2425</v>
      </c>
      <c r="U12" s="65">
        <v>2189</v>
      </c>
      <c r="V12" s="45">
        <f>S12*$G22/860</f>
        <v>68.255813953488371</v>
      </c>
      <c r="W12" s="45">
        <f>T12*$G22/860</f>
        <v>56.395348837209305</v>
      </c>
      <c r="X12" s="45">
        <f>U12*$G22/860</f>
        <v>50.906976744186046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45</v>
      </c>
      <c r="O13" s="2">
        <f>IF(G10=N13,1,0)</f>
        <v>0</v>
      </c>
      <c r="P13" s="9" t="s">
        <v>12</v>
      </c>
      <c r="Q13" s="41">
        <v>5</v>
      </c>
      <c r="R13" s="44">
        <v>4.8</v>
      </c>
      <c r="S13" s="65">
        <v>1948</v>
      </c>
      <c r="T13" s="65">
        <v>1462</v>
      </c>
      <c r="U13" s="65">
        <v>1209</v>
      </c>
      <c r="V13" s="45">
        <f>S13*$G22/860</f>
        <v>45.302325581395351</v>
      </c>
      <c r="W13" s="45">
        <f>T13*$G22/860</f>
        <v>34</v>
      </c>
      <c r="X13" s="45">
        <f>U13*$G22/860</f>
        <v>28.11627906976744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46</v>
      </c>
      <c r="O14" s="2">
        <f>IF(G10=N14,1,0)</f>
        <v>0</v>
      </c>
      <c r="P14" s="9" t="s">
        <v>12</v>
      </c>
      <c r="Q14" s="41">
        <v>2.2000000000000002</v>
      </c>
      <c r="R14" s="44">
        <v>5.8</v>
      </c>
      <c r="S14" s="65">
        <v>924</v>
      </c>
      <c r="T14" s="65">
        <v>801</v>
      </c>
      <c r="U14" s="65">
        <v>487</v>
      </c>
      <c r="V14" s="45">
        <f>S14*$G22/860</f>
        <v>21.488372093023255</v>
      </c>
      <c r="W14" s="45">
        <f>T14*$G22/860</f>
        <v>18.627906976744185</v>
      </c>
      <c r="X14" s="45">
        <f>U14*$G22/860</f>
        <v>11.325581395348838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47</v>
      </c>
      <c r="O15" s="2">
        <f>IF(G10=N15,1,0)</f>
        <v>0</v>
      </c>
      <c r="P15" s="9" t="s">
        <v>12</v>
      </c>
      <c r="Q15" s="41">
        <v>3.3</v>
      </c>
      <c r="R15" s="44">
        <v>5.3</v>
      </c>
      <c r="S15" s="65">
        <v>1493</v>
      </c>
      <c r="T15" s="65">
        <v>1111</v>
      </c>
      <c r="U15" s="65">
        <v>901</v>
      </c>
      <c r="V15" s="45">
        <f>S15*$G22/860</f>
        <v>34.720930232558139</v>
      </c>
      <c r="W15" s="45">
        <f>T15*$G22/860</f>
        <v>25.837209302325583</v>
      </c>
      <c r="X15" s="45">
        <f>U15*$G22/860</f>
        <v>20.953488372093023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48</v>
      </c>
      <c r="O16" s="2">
        <f>IF(G10=N16,1,0)</f>
        <v>0</v>
      </c>
      <c r="P16" s="9" t="s">
        <v>12</v>
      </c>
      <c r="Q16" s="41">
        <v>6</v>
      </c>
      <c r="R16" s="44">
        <v>4.0999999999999996</v>
      </c>
      <c r="S16" s="65">
        <v>2284</v>
      </c>
      <c r="T16" s="65">
        <v>1770</v>
      </c>
      <c r="U16" s="65">
        <v>1511</v>
      </c>
      <c r="V16" s="45">
        <f>S16*$G22/860</f>
        <v>53.116279069767444</v>
      </c>
      <c r="W16" s="45">
        <f>T16*$G22/860</f>
        <v>41.162790697674417</v>
      </c>
      <c r="X16" s="45">
        <f>U16*$G22/860</f>
        <v>35.139534883720927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49</v>
      </c>
      <c r="O17" s="2">
        <f>IF(G10=N17,1,0)</f>
        <v>0</v>
      </c>
      <c r="P17" s="9" t="s">
        <v>12</v>
      </c>
      <c r="Q17" s="41">
        <v>6</v>
      </c>
      <c r="R17" s="44">
        <v>4.0999999999999996</v>
      </c>
      <c r="S17" s="65">
        <v>2284</v>
      </c>
      <c r="T17" s="65">
        <v>1770</v>
      </c>
      <c r="U17" s="65">
        <v>1511</v>
      </c>
      <c r="V17" s="45">
        <f>S17*$G22/860</f>
        <v>53.116279069767444</v>
      </c>
      <c r="W17" s="45">
        <f>T17*$G22/860</f>
        <v>41.162790697674417</v>
      </c>
      <c r="X17" s="45">
        <f>U17*$G22/860</f>
        <v>35.139534883720927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51</v>
      </c>
      <c r="O18" s="2">
        <f>IF(G10=N18,1,0)</f>
        <v>0</v>
      </c>
      <c r="P18" s="9" t="s">
        <v>12</v>
      </c>
      <c r="Q18" s="41"/>
      <c r="R18" s="44"/>
      <c r="S18" s="44"/>
      <c r="T18" s="44"/>
      <c r="U18" s="44"/>
      <c r="V18" s="45">
        <f>S18*$G22/860</f>
        <v>0</v>
      </c>
      <c r="W18" s="45">
        <f t="shared" ref="W18:X18" si="0">T18*$G22/860</f>
        <v>0</v>
      </c>
      <c r="X18" s="45">
        <f t="shared" si="0"/>
        <v>0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51</v>
      </c>
      <c r="O19" s="2">
        <f>IF(G10=N19,1,0)</f>
        <v>0</v>
      </c>
      <c r="P19" s="9" t="s">
        <v>12</v>
      </c>
      <c r="Q19" s="41"/>
      <c r="R19" s="44"/>
      <c r="S19" s="44"/>
      <c r="T19" s="44"/>
      <c r="U19" s="44"/>
      <c r="V19" s="45">
        <f>S19*$G22/860</f>
        <v>0</v>
      </c>
      <c r="W19" s="45">
        <f t="shared" ref="W19:X19" si="1">T19*$G22/860</f>
        <v>0</v>
      </c>
      <c r="X19" s="45">
        <f t="shared" si="1"/>
        <v>0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G21" s="1"/>
      <c r="H21" s="75"/>
      <c r="I21" s="75"/>
      <c r="J21" s="75"/>
      <c r="K21" s="75"/>
      <c r="L21" s="75"/>
      <c r="M21" s="10"/>
    </row>
    <row r="22" spans="1:24" x14ac:dyDescent="0.3">
      <c r="A22" s="7"/>
      <c r="B22" t="s">
        <v>33</v>
      </c>
      <c r="G22" s="60">
        <v>20</v>
      </c>
      <c r="H22" t="s">
        <v>1</v>
      </c>
      <c r="M22" s="10"/>
      <c r="N22" s="49"/>
    </row>
    <row r="23" spans="1:24" ht="15.6" x14ac:dyDescent="0.3">
      <c r="A23" s="7"/>
      <c r="B23" t="s">
        <v>34</v>
      </c>
      <c r="G23" s="60">
        <v>2150</v>
      </c>
      <c r="H23" s="22" t="s">
        <v>2</v>
      </c>
      <c r="I23" s="8"/>
      <c r="J23" s="8"/>
      <c r="K23" s="51"/>
      <c r="L23" s="25"/>
      <c r="M23" s="10"/>
      <c r="N23" s="49"/>
      <c r="P23" s="58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/>
      <c r="M24" s="10"/>
      <c r="N24" s="49"/>
    </row>
    <row r="25" spans="1:24" ht="15.6" x14ac:dyDescent="0.3">
      <c r="A25" s="7"/>
      <c r="B25" s="13" t="s">
        <v>80</v>
      </c>
      <c r="E25" s="30">
        <f>G23*G22/860</f>
        <v>50</v>
      </c>
      <c r="F25" s="21" t="s">
        <v>0</v>
      </c>
      <c r="H25" s="56" t="s">
        <v>35</v>
      </c>
      <c r="I25" s="54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57" t="s">
        <v>15</v>
      </c>
      <c r="K25" s="30"/>
      <c r="L25" s="21"/>
      <c r="M25" s="10"/>
      <c r="N25" s="55">
        <f>E25/I25-1</f>
        <v>-5.0902360018509896E-3</v>
      </c>
      <c r="P25" s="28"/>
      <c r="Q25" s="24"/>
      <c r="S25" s="58" t="s">
        <v>10</v>
      </c>
      <c r="T25" s="58" t="s">
        <v>11</v>
      </c>
      <c r="U25" s="58"/>
    </row>
    <row r="26" spans="1:24" x14ac:dyDescent="0.3">
      <c r="A26" s="7"/>
      <c r="M26" s="10"/>
      <c r="P26" s="58" t="s">
        <v>8</v>
      </c>
      <c r="Q26" s="58" t="s">
        <v>7</v>
      </c>
      <c r="R26" s="58" t="s">
        <v>6</v>
      </c>
      <c r="S26" s="58" t="s">
        <v>9</v>
      </c>
      <c r="T26" s="58" t="s">
        <v>9</v>
      </c>
      <c r="U26" s="58"/>
      <c r="V26" s="58" t="s">
        <v>4</v>
      </c>
      <c r="W26" s="58" t="s">
        <v>5</v>
      </c>
      <c r="X26" s="58"/>
    </row>
    <row r="27" spans="1:24" x14ac:dyDescent="0.3">
      <c r="A27" s="7"/>
      <c r="B27" t="s">
        <v>36</v>
      </c>
      <c r="G27" s="76" t="s">
        <v>85</v>
      </c>
      <c r="H27" s="76"/>
      <c r="I27" s="76"/>
      <c r="J27" s="76"/>
      <c r="M27" s="10"/>
      <c r="N27" s="2" t="s">
        <v>84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5.885723500000001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52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4.1388445000000003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85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3.3692439999999992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37</v>
      </c>
      <c r="I32" s="26">
        <f>IF(O30=1,IF(AND(P30=1,Q30=1),V27,IF(AND(P30=1,Q30=2),W27,IF(AND(P30=2,Q30=1),V28,IF(AND(P30=2,Q30=2),W28,IF(AND(P30=3,Q30=1),V29,IF(AND(P30=3,Q30=2),W29,"Errore")))))),"- -")</f>
        <v>3.3692439999999992</v>
      </c>
      <c r="J32" t="s">
        <v>3</v>
      </c>
      <c r="M32" s="10"/>
    </row>
    <row r="33" spans="1:24" x14ac:dyDescent="0.3">
      <c r="A33" s="7"/>
      <c r="H33" s="14" t="s">
        <v>38</v>
      </c>
      <c r="I33" s="26">
        <f>IF(O30=1,IF(S33&lt;0.2,0.2,S33),"- -")</f>
        <v>0.73656648437499994</v>
      </c>
      <c r="J33" t="s">
        <v>3</v>
      </c>
      <c r="M33" s="10"/>
      <c r="P33" s="9" t="s">
        <v>12</v>
      </c>
      <c r="Q33" s="24">
        <f>IF(O10=1,Q10,IF(O11=1,Q11,IF(O12=1,Q12,IF(O13=1,Q13,IF(O14=1,Q14,IF(O15=1,Q15,IF(O16=1,Q16,IF(O17=1,Q17,IF(O17=1,Q17,IF(O18=1,Q18,IF(O19=1,Q19,"Errore!")))))))))))</f>
        <v>8</v>
      </c>
      <c r="R33" s="28" t="s">
        <v>13</v>
      </c>
      <c r="S33" s="9">
        <f>(G23/1000/Q33)^2*10.198</f>
        <v>0.73656648437499994</v>
      </c>
    </row>
    <row r="34" spans="1:24" ht="15.6" x14ac:dyDescent="0.3">
      <c r="A34" s="7"/>
      <c r="H34" s="15" t="s">
        <v>39</v>
      </c>
      <c r="I34" s="23">
        <f>IF(O30=1,I32-I33,"- -")</f>
        <v>2.6326775156249993</v>
      </c>
      <c r="J34" s="16" t="s">
        <v>3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IF(G22&lt;=12,"Calcolo sottopavimento:","Calcolo sottopavimento non disponibile se Δt &gt; 12 K")</f>
        <v>Calcolo sottopavimento non disponibile se Δt &gt; 12 K</v>
      </c>
      <c r="H36" s="15"/>
      <c r="I36" s="23"/>
      <c r="J36" s="16"/>
      <c r="M36" s="10"/>
      <c r="N36" s="32"/>
      <c r="S36" s="64" t="s">
        <v>50</v>
      </c>
    </row>
    <row r="37" spans="1:24" ht="9" customHeight="1" x14ac:dyDescent="0.3">
      <c r="A37" s="7"/>
      <c r="H37" s="15"/>
      <c r="I37" s="23"/>
      <c r="J37" s="16"/>
      <c r="M37" s="10"/>
      <c r="N37" s="32"/>
      <c r="S37" s="63"/>
    </row>
    <row r="38" spans="1:24" x14ac:dyDescent="0.3">
      <c r="A38" s="7"/>
      <c r="B38" t="s">
        <v>40</v>
      </c>
      <c r="F38" s="14"/>
      <c r="G38" s="61" t="s">
        <v>20</v>
      </c>
      <c r="I38" s="38" t="str">
        <f>IF(G22&gt;12,"","Utilizzare Δt=")</f>
        <v/>
      </c>
      <c r="J38" s="16" t="str">
        <f>IF(G22&gt;12,"",IF(G38=N38,P38,IF(G38=N39,P39,IF(G38=N40,P40,""))))</f>
        <v/>
      </c>
      <c r="M38" s="10"/>
      <c r="N38" s="24" t="s">
        <v>19</v>
      </c>
      <c r="O38" s="2">
        <f>IF(N38=G38,1,0)</f>
        <v>0</v>
      </c>
      <c r="P38" s="9" t="s">
        <v>16</v>
      </c>
      <c r="Q38" s="31">
        <f>T38*S38</f>
        <v>34.375</v>
      </c>
      <c r="R38" s="24" t="s">
        <v>14</v>
      </c>
      <c r="S38" s="63">
        <v>1.375</v>
      </c>
      <c r="T38" s="42">
        <v>25</v>
      </c>
      <c r="U38" s="27"/>
      <c r="V38" s="24" t="s">
        <v>14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20</v>
      </c>
      <c r="O39" s="2">
        <f>IF(N39=G38,1,0)</f>
        <v>1</v>
      </c>
      <c r="P39" s="9" t="s">
        <v>17</v>
      </c>
      <c r="Q39" s="31">
        <f>T39*S39</f>
        <v>110</v>
      </c>
      <c r="R39" s="24" t="s">
        <v>14</v>
      </c>
      <c r="S39" s="63">
        <v>1.375</v>
      </c>
      <c r="T39" s="43">
        <v>80</v>
      </c>
      <c r="U39" s="31"/>
      <c r="V39" s="24" t="s">
        <v>14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21</v>
      </c>
      <c r="O40" s="2">
        <f>IF(N40=G38,1,0)</f>
        <v>0</v>
      </c>
      <c r="P40" s="9" t="s">
        <v>18</v>
      </c>
      <c r="Q40" s="31">
        <f>T40*S40</f>
        <v>192.5</v>
      </c>
      <c r="R40" s="24" t="s">
        <v>14</v>
      </c>
      <c r="S40" s="63">
        <v>1.375</v>
      </c>
      <c r="T40" s="42">
        <v>140</v>
      </c>
      <c r="U40" s="27"/>
      <c r="V40" s="24" t="s">
        <v>14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77" t="str">
        <f>IF(G22&gt;12,"","Superficie massima dell'impianto sottopavimento gestibile da ciascun modulo, con un salto termico proporzionato alla classe d'isolamento termico selezionata:")</f>
        <v/>
      </c>
      <c r="C43" s="77"/>
      <c r="D43" s="77"/>
      <c r="E43" s="77"/>
      <c r="F43" s="77"/>
      <c r="G43" s="77"/>
      <c r="H43" s="77"/>
      <c r="I43" s="52" t="str">
        <f>IF(G22&gt;12,"",IF(G22&lt;=12,IF(O38=1,E25*1000/Q38,IF(O39=1,E25*1000/Q39,IF(O40=1,E25*1000/Q40,"- -"))),"- - "))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1.2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</row>
    <row r="47" spans="1:24" ht="18.75" customHeight="1" x14ac:dyDescent="0.3">
      <c r="A47" s="7"/>
      <c r="B47" s="62" t="s">
        <v>32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10"/>
      <c r="N47" s="32"/>
    </row>
    <row r="48" spans="1:24" ht="30" customHeight="1" x14ac:dyDescent="0.3">
      <c r="A48" s="7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10"/>
      <c r="N48" s="32"/>
    </row>
    <row r="49" spans="1:14" ht="30" customHeight="1" x14ac:dyDescent="0.3">
      <c r="A49" s="7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10"/>
      <c r="N49" s="32"/>
    </row>
    <row r="50" spans="1:14" ht="30" customHeight="1" x14ac:dyDescent="0.3">
      <c r="A50" s="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10"/>
      <c r="N50" s="32"/>
    </row>
    <row r="51" spans="1:14" ht="10.5" customHeight="1" x14ac:dyDescent="0.3">
      <c r="A51" s="17"/>
      <c r="B51" s="18"/>
      <c r="C51" s="18"/>
      <c r="D51" s="18"/>
      <c r="E51" s="18"/>
      <c r="F51" s="19"/>
      <c r="G51" s="18"/>
      <c r="H51" s="18"/>
      <c r="I51" s="19"/>
      <c r="J51" s="19"/>
      <c r="K51" s="18"/>
      <c r="L51" s="18"/>
      <c r="M51" s="20"/>
    </row>
  </sheetData>
  <sheetProtection algorithmName="SHA-512" hashValue="JL/qD0VxsjHfoyJwhPsg/X3DndEy3nlAgLwwaBCM7bAy4LXSaNlLFQYLluAfCzo5E3q6vwL+qeNAWlASXQ0Ojg==" saltValue="qZfP6nmoIje5y04KssRcsQ==" spinCount="100000" sheet="1" objects="1" scenarios="1" selectLockedCells="1"/>
  <dataConsolidate/>
  <mergeCells count="21">
    <mergeCell ref="C47:L47"/>
    <mergeCell ref="B48:L48"/>
    <mergeCell ref="B49:L49"/>
    <mergeCell ref="B50:L50"/>
    <mergeCell ref="X7:X8"/>
    <mergeCell ref="G10:J10"/>
    <mergeCell ref="H21:L21"/>
    <mergeCell ref="G27:J27"/>
    <mergeCell ref="B43:H43"/>
    <mergeCell ref="R7:R8"/>
    <mergeCell ref="S7:S8"/>
    <mergeCell ref="T7:T8"/>
    <mergeCell ref="U7:U8"/>
    <mergeCell ref="V7:V8"/>
    <mergeCell ref="W7:W8"/>
    <mergeCell ref="B1:L1"/>
    <mergeCell ref="S5:U5"/>
    <mergeCell ref="V5:X5"/>
    <mergeCell ref="S6:U6"/>
    <mergeCell ref="V6:X6"/>
    <mergeCell ref="B2:L2"/>
  </mergeCells>
  <conditionalFormatting sqref="I34">
    <cfRule type="cellIs" dxfId="15" priority="10" operator="lessThan">
      <formula>0.5</formula>
    </cfRule>
  </conditionalFormatting>
  <conditionalFormatting sqref="K5">
    <cfRule type="cellIs" dxfId="14" priority="9" operator="greaterThan">
      <formula>50</formula>
    </cfRule>
  </conditionalFormatting>
  <conditionalFormatting sqref="E25:F25">
    <cfRule type="expression" dxfId="13" priority="5" stopIfTrue="1">
      <formula>$N$25&gt;=0.1</formula>
    </cfRule>
    <cfRule type="expression" dxfId="12" priority="6">
      <formula>$N$25&gt;0</formula>
    </cfRule>
  </conditionalFormatting>
  <dataValidations count="3">
    <dataValidation type="list" allowBlank="1" showErrorMessage="1" sqref="G10:J10" xr:uid="{00000000-0002-0000-0000-000000000000}">
      <formula1>$N$10:$N$17</formula1>
    </dataValidation>
    <dataValidation type="list" allowBlank="1" showInputMessage="1" showErrorMessage="1" promptTitle="Scegliere un circolatore" sqref="G27:J27" xr:uid="{00000000-0002-0000-0000-000001000000}">
      <formula1>$N$27:$N$29</formula1>
    </dataValidation>
    <dataValidation type="list" allowBlank="1" showInputMessage="1" showErrorMessage="1" sqref="G38" xr:uid="{00000000-0002-0000-0000-000002000000}">
      <formula1>$N$38:$N$40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1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67" t="s">
        <v>53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"/>
    </row>
    <row r="2" spans="1:24" ht="188.25" customHeight="1" x14ac:dyDescent="0.3">
      <c r="A2" s="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0"/>
    </row>
    <row r="3" spans="1:24" ht="11.25" customHeight="1" x14ac:dyDescent="0.3">
      <c r="A3" s="7"/>
      <c r="M3" s="10"/>
    </row>
    <row r="4" spans="1:24" ht="10.5" customHeight="1" x14ac:dyDescent="0.3">
      <c r="A4" s="7"/>
      <c r="M4" s="10"/>
    </row>
    <row r="5" spans="1:24" x14ac:dyDescent="0.3">
      <c r="A5" s="7"/>
      <c r="B5" s="21"/>
      <c r="K5" s="30"/>
      <c r="L5" s="21"/>
      <c r="M5" s="10"/>
      <c r="R5" s="59" t="s">
        <v>29</v>
      </c>
      <c r="S5" s="68" t="s">
        <v>25</v>
      </c>
      <c r="T5" s="68"/>
      <c r="U5" s="68"/>
      <c r="V5" s="69" t="s">
        <v>27</v>
      </c>
      <c r="W5" s="69"/>
      <c r="X5" s="69"/>
    </row>
    <row r="6" spans="1:24" x14ac:dyDescent="0.3">
      <c r="A6" s="7"/>
      <c r="M6" s="10"/>
      <c r="R6" s="59" t="s">
        <v>31</v>
      </c>
      <c r="S6" s="68" t="s">
        <v>26</v>
      </c>
      <c r="T6" s="68"/>
      <c r="U6" s="68"/>
      <c r="V6" s="69" t="s">
        <v>28</v>
      </c>
      <c r="W6" s="69"/>
      <c r="X6" s="69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68" t="s">
        <v>30</v>
      </c>
      <c r="S7" s="78" t="s">
        <v>22</v>
      </c>
      <c r="T7" s="78" t="s">
        <v>23</v>
      </c>
      <c r="U7" s="78" t="s">
        <v>24</v>
      </c>
      <c r="V7" s="73" t="s">
        <v>22</v>
      </c>
      <c r="W7" s="73" t="s">
        <v>23</v>
      </c>
      <c r="X7" s="73" t="s">
        <v>24</v>
      </c>
    </row>
    <row r="8" spans="1:24" ht="11.25" customHeight="1" x14ac:dyDescent="0.3">
      <c r="R8" s="68"/>
      <c r="S8" s="78"/>
      <c r="T8" s="78"/>
      <c r="U8" s="78"/>
      <c r="V8" s="73"/>
      <c r="W8" s="73"/>
      <c r="X8" s="73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/>
      <c r="G10" s="74" t="s">
        <v>42</v>
      </c>
      <c r="H10" s="74"/>
      <c r="I10" s="74"/>
      <c r="J10" s="74"/>
      <c r="M10" s="10"/>
      <c r="N10" s="47" t="s">
        <v>42</v>
      </c>
      <c r="O10" s="2">
        <f>IF(G10=N10,1,0)</f>
        <v>1</v>
      </c>
      <c r="P10" s="9" t="s">
        <v>12</v>
      </c>
      <c r="Q10" s="41">
        <v>8</v>
      </c>
      <c r="R10" s="44">
        <v>2.6</v>
      </c>
      <c r="S10" s="65">
        <v>2972</v>
      </c>
      <c r="T10" s="65">
        <v>2421</v>
      </c>
      <c r="U10" s="65">
        <v>2161</v>
      </c>
      <c r="V10" s="45">
        <f>S10*$G22/860</f>
        <v>69.116279069767444</v>
      </c>
      <c r="W10" s="45">
        <f>T10*$G22/860</f>
        <v>56.302325581395351</v>
      </c>
      <c r="X10" s="45">
        <f>U10*$G22/860</f>
        <v>50.255813953488371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43</v>
      </c>
      <c r="O11" s="2">
        <f>IF(G10=N11,1,0)</f>
        <v>0</v>
      </c>
      <c r="P11" s="9" t="s">
        <v>12</v>
      </c>
      <c r="Q11" s="41">
        <v>6</v>
      </c>
      <c r="R11" s="44">
        <v>4.0999999999999996</v>
      </c>
      <c r="S11" s="65">
        <v>2284</v>
      </c>
      <c r="T11" s="65">
        <v>1770</v>
      </c>
      <c r="U11" s="65">
        <v>1511</v>
      </c>
      <c r="V11" s="45">
        <f>S11*$G22/860</f>
        <v>53.116279069767444</v>
      </c>
      <c r="W11" s="45">
        <f>T11*$G22/860</f>
        <v>41.162790697674417</v>
      </c>
      <c r="X11" s="45">
        <f>U11*$G22/860</f>
        <v>35.139534883720927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44</v>
      </c>
      <c r="O12" s="2">
        <f>IF(G10=N12,1,0)</f>
        <v>0</v>
      </c>
      <c r="P12" s="9" t="s">
        <v>12</v>
      </c>
      <c r="Q12" s="41">
        <v>7</v>
      </c>
      <c r="R12" s="44">
        <v>2.2999999999999998</v>
      </c>
      <c r="S12" s="65">
        <v>2935</v>
      </c>
      <c r="T12" s="65">
        <v>2425</v>
      </c>
      <c r="U12" s="65">
        <v>2189</v>
      </c>
      <c r="V12" s="45">
        <f>S12*$G22/860</f>
        <v>68.255813953488371</v>
      </c>
      <c r="W12" s="45">
        <f>T12*$G22/860</f>
        <v>56.395348837209305</v>
      </c>
      <c r="X12" s="45">
        <f>U12*$G22/860</f>
        <v>50.906976744186046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45</v>
      </c>
      <c r="O13" s="2">
        <f>IF(G10=N13,1,0)</f>
        <v>0</v>
      </c>
      <c r="P13" s="9" t="s">
        <v>12</v>
      </c>
      <c r="Q13" s="41">
        <v>5</v>
      </c>
      <c r="R13" s="44">
        <v>4.8</v>
      </c>
      <c r="S13" s="65">
        <v>1948</v>
      </c>
      <c r="T13" s="65">
        <v>1462</v>
      </c>
      <c r="U13" s="65">
        <v>1209</v>
      </c>
      <c r="V13" s="45">
        <f>S13*$G22/860</f>
        <v>45.302325581395351</v>
      </c>
      <c r="W13" s="45">
        <f>T13*$G22/860</f>
        <v>34</v>
      </c>
      <c r="X13" s="45">
        <f>U13*$G22/860</f>
        <v>28.11627906976744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46</v>
      </c>
      <c r="O14" s="2">
        <f>IF(G10=N14,1,0)</f>
        <v>0</v>
      </c>
      <c r="P14" s="9" t="s">
        <v>12</v>
      </c>
      <c r="Q14" s="41">
        <v>2.2000000000000002</v>
      </c>
      <c r="R14" s="44">
        <v>5.8</v>
      </c>
      <c r="S14" s="65">
        <v>924</v>
      </c>
      <c r="T14" s="65">
        <v>801</v>
      </c>
      <c r="U14" s="65">
        <v>487</v>
      </c>
      <c r="V14" s="45">
        <f>S14*$G22/860</f>
        <v>21.488372093023255</v>
      </c>
      <c r="W14" s="45">
        <f>T14*$G22/860</f>
        <v>18.627906976744185</v>
      </c>
      <c r="X14" s="45">
        <f>U14*$G22/860</f>
        <v>11.325581395348838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47</v>
      </c>
      <c r="O15" s="2">
        <f>IF(G10=N15,1,0)</f>
        <v>0</v>
      </c>
      <c r="P15" s="9" t="s">
        <v>12</v>
      </c>
      <c r="Q15" s="41">
        <v>3.3</v>
      </c>
      <c r="R15" s="44">
        <v>5.3</v>
      </c>
      <c r="S15" s="65">
        <v>1493</v>
      </c>
      <c r="T15" s="65">
        <v>1111</v>
      </c>
      <c r="U15" s="65">
        <v>901</v>
      </c>
      <c r="V15" s="45">
        <f>S15*$G22/860</f>
        <v>34.720930232558139</v>
      </c>
      <c r="W15" s="45">
        <f>T15*$G22/860</f>
        <v>25.837209302325583</v>
      </c>
      <c r="X15" s="45">
        <f>U15*$G22/860</f>
        <v>20.953488372093023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48</v>
      </c>
      <c r="O16" s="2">
        <f>IF(G10=N16,1,0)</f>
        <v>0</v>
      </c>
      <c r="P16" s="9" t="s">
        <v>12</v>
      </c>
      <c r="Q16" s="41">
        <v>6</v>
      </c>
      <c r="R16" s="44">
        <v>4.0999999999999996</v>
      </c>
      <c r="S16" s="65">
        <v>2284</v>
      </c>
      <c r="T16" s="65">
        <v>1770</v>
      </c>
      <c r="U16" s="65">
        <v>1511</v>
      </c>
      <c r="V16" s="45">
        <f>S16*$G22/860</f>
        <v>53.116279069767444</v>
      </c>
      <c r="W16" s="45">
        <f>T16*$G22/860</f>
        <v>41.162790697674417</v>
      </c>
      <c r="X16" s="45">
        <f>U16*$G22/860</f>
        <v>35.139534883720927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49</v>
      </c>
      <c r="O17" s="2">
        <f>IF(G10=N17,1,0)</f>
        <v>0</v>
      </c>
      <c r="P17" s="9" t="s">
        <v>12</v>
      </c>
      <c r="Q17" s="41">
        <v>6</v>
      </c>
      <c r="R17" s="44">
        <v>4.0999999999999996</v>
      </c>
      <c r="S17" s="65">
        <v>2284</v>
      </c>
      <c r="T17" s="65">
        <v>1770</v>
      </c>
      <c r="U17" s="65">
        <v>1511</v>
      </c>
      <c r="V17" s="45">
        <f>S17*$G22/860</f>
        <v>53.116279069767444</v>
      </c>
      <c r="W17" s="45">
        <f>T17*$G22/860</f>
        <v>41.162790697674417</v>
      </c>
      <c r="X17" s="45">
        <f>U17*$G22/860</f>
        <v>35.139534883720927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51</v>
      </c>
      <c r="O18" s="2">
        <f>IF(G10=N18,1,0)</f>
        <v>0</v>
      </c>
      <c r="P18" s="9" t="s">
        <v>12</v>
      </c>
      <c r="Q18" s="41"/>
      <c r="R18" s="44"/>
      <c r="S18" s="44"/>
      <c r="T18" s="44"/>
      <c r="U18" s="44"/>
      <c r="V18" s="45">
        <f>S18*$G22/860</f>
        <v>0</v>
      </c>
      <c r="W18" s="45">
        <f t="shared" ref="W18:X18" si="0">T18*$G22/860</f>
        <v>0</v>
      </c>
      <c r="X18" s="45">
        <f t="shared" si="0"/>
        <v>0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51</v>
      </c>
      <c r="O19" s="2">
        <f>IF(G10=N19,1,0)</f>
        <v>0</v>
      </c>
      <c r="P19" s="9" t="s">
        <v>12</v>
      </c>
      <c r="Q19" s="41"/>
      <c r="R19" s="44"/>
      <c r="S19" s="44"/>
      <c r="T19" s="44"/>
      <c r="U19" s="44"/>
      <c r="V19" s="45">
        <f>S19*$G22/860</f>
        <v>0</v>
      </c>
      <c r="W19" s="45">
        <f t="shared" ref="W19:X19" si="1">T19*$G22/860</f>
        <v>0</v>
      </c>
      <c r="X19" s="45">
        <f t="shared" si="1"/>
        <v>0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G21" s="1"/>
      <c r="H21" s="75"/>
      <c r="I21" s="75"/>
      <c r="J21" s="75"/>
      <c r="K21" s="75"/>
      <c r="L21" s="75"/>
      <c r="M21" s="10"/>
    </row>
    <row r="22" spans="1:24" x14ac:dyDescent="0.3">
      <c r="A22" s="7"/>
      <c r="B22" t="s">
        <v>54</v>
      </c>
      <c r="G22" s="60">
        <v>20</v>
      </c>
      <c r="H22" t="s">
        <v>1</v>
      </c>
      <c r="M22" s="10"/>
      <c r="N22" s="49"/>
    </row>
    <row r="23" spans="1:24" ht="15.6" x14ac:dyDescent="0.3">
      <c r="A23" s="7"/>
      <c r="B23" t="s">
        <v>55</v>
      </c>
      <c r="G23" s="60">
        <v>2150</v>
      </c>
      <c r="H23" s="22" t="s">
        <v>2</v>
      </c>
      <c r="I23" s="8"/>
      <c r="J23" s="8"/>
      <c r="K23" s="51"/>
      <c r="L23" s="25"/>
      <c r="M23" s="10"/>
      <c r="N23" s="49"/>
      <c r="P23" s="58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/>
      <c r="M24" s="10"/>
      <c r="N24" s="49"/>
    </row>
    <row r="25" spans="1:24" ht="15.6" x14ac:dyDescent="0.3">
      <c r="A25" s="7"/>
      <c r="B25" s="13" t="s">
        <v>81</v>
      </c>
      <c r="E25" s="30">
        <f>G23*G22/860</f>
        <v>50</v>
      </c>
      <c r="F25" s="21" t="s">
        <v>0</v>
      </c>
      <c r="H25" s="66" t="s">
        <v>56</v>
      </c>
      <c r="I25" s="54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57" t="s">
        <v>15</v>
      </c>
      <c r="K25" s="30"/>
      <c r="L25" s="21"/>
      <c r="M25" s="10"/>
      <c r="N25" s="55">
        <f>E25/I25-1</f>
        <v>-5.0902360018509896E-3</v>
      </c>
      <c r="P25" s="28"/>
      <c r="Q25" s="24"/>
      <c r="S25" s="58" t="s">
        <v>10</v>
      </c>
      <c r="T25" s="58" t="s">
        <v>11</v>
      </c>
      <c r="U25" s="58"/>
    </row>
    <row r="26" spans="1:24" x14ac:dyDescent="0.3">
      <c r="A26" s="7"/>
      <c r="M26" s="10"/>
      <c r="P26" s="58" t="s">
        <v>8</v>
      </c>
      <c r="Q26" s="58" t="s">
        <v>7</v>
      </c>
      <c r="R26" s="58" t="s">
        <v>6</v>
      </c>
      <c r="S26" s="58" t="s">
        <v>9</v>
      </c>
      <c r="T26" s="58" t="s">
        <v>9</v>
      </c>
      <c r="U26" s="58"/>
      <c r="V26" s="58" t="s">
        <v>4</v>
      </c>
      <c r="W26" s="58" t="s">
        <v>5</v>
      </c>
      <c r="X26" s="58"/>
    </row>
    <row r="27" spans="1:24" x14ac:dyDescent="0.3">
      <c r="A27" s="7"/>
      <c r="B27" t="s">
        <v>57</v>
      </c>
      <c r="G27" s="76" t="s">
        <v>85</v>
      </c>
      <c r="H27" s="76"/>
      <c r="I27" s="76"/>
      <c r="J27" s="76"/>
      <c r="M27" s="10"/>
      <c r="N27" s="2" t="s">
        <v>84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5.885723500000001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52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4.1388445000000003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85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3.3692439999999992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58</v>
      </c>
      <c r="I32" s="26">
        <f>IF(O30=1,IF(AND(P30=1,Q30=1),V27,IF(AND(P30=1,Q30=2),W27,IF(AND(P30=2,Q30=1),V28,IF(AND(P30=2,Q30=2),W28,IF(AND(P30=3,Q30=1),V29,IF(AND(P30=3,Q30=2),W29,"Errore")))))),"- -")</f>
        <v>3.3692439999999992</v>
      </c>
      <c r="J32" t="s">
        <v>3</v>
      </c>
      <c r="M32" s="10"/>
    </row>
    <row r="33" spans="1:24" x14ac:dyDescent="0.3">
      <c r="A33" s="7"/>
      <c r="H33" s="14" t="s">
        <v>59</v>
      </c>
      <c r="I33" s="26">
        <f>IF(O30=1,IF(S33&lt;0.2,0.2,S33),"- -")</f>
        <v>0.73656648437499994</v>
      </c>
      <c r="J33" t="s">
        <v>3</v>
      </c>
      <c r="M33" s="10"/>
      <c r="P33" s="9" t="s">
        <v>12</v>
      </c>
      <c r="Q33" s="24">
        <f>IF(O10=1,Q10,IF(O11=1,Q11,IF(O12=1,Q12,IF(O13=1,Q13,IF(O14=1,Q14,IF(O15=1,Q15,IF(O16=1,Q16,IF(O17=1,Q17,IF(O17=1,Q17,IF(O18=1,Q18,IF(O19=1,Q19,"Errore!")))))))))))</f>
        <v>8</v>
      </c>
      <c r="R33" s="28" t="s">
        <v>13</v>
      </c>
      <c r="S33" s="9">
        <f>(G23/1000/Q33)^2*10.198</f>
        <v>0.73656648437499994</v>
      </c>
    </row>
    <row r="34" spans="1:24" ht="15.6" x14ac:dyDescent="0.3">
      <c r="A34" s="7"/>
      <c r="H34" s="15" t="s">
        <v>60</v>
      </c>
      <c r="I34" s="23">
        <f>IF(O30=1,I32-I33,"- -")</f>
        <v>2.6326775156249993</v>
      </c>
      <c r="J34" s="16" t="s">
        <v>3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IF(G22&lt;=12,"Underfoor calculation:","Underfoor calculation not available if Δt &gt; 12 K")</f>
        <v>Underfoor calculation not available if Δt &gt; 12 K</v>
      </c>
      <c r="H36" s="15"/>
      <c r="I36" s="23"/>
      <c r="J36" s="16"/>
      <c r="M36" s="10"/>
      <c r="N36" s="32"/>
      <c r="S36" s="64" t="s">
        <v>50</v>
      </c>
    </row>
    <row r="37" spans="1:24" ht="9" customHeight="1" x14ac:dyDescent="0.3">
      <c r="A37" s="7"/>
      <c r="H37" s="15"/>
      <c r="I37" s="23"/>
      <c r="J37" s="16"/>
      <c r="M37" s="10"/>
      <c r="N37" s="32"/>
      <c r="S37" s="63"/>
    </row>
    <row r="38" spans="1:24" x14ac:dyDescent="0.3">
      <c r="A38" s="7"/>
      <c r="B38" t="s">
        <v>61</v>
      </c>
      <c r="F38" s="14"/>
      <c r="G38" s="61" t="s">
        <v>20</v>
      </c>
      <c r="I38" s="38" t="str">
        <f>IF(G22&gt;12,"","Use Δt=")</f>
        <v/>
      </c>
      <c r="J38" s="16" t="str">
        <f>IF(G22&gt;12,"",IF(G38=N38,P38,IF(G38=N39,P39,IF(G38=N40,P40,""))))</f>
        <v/>
      </c>
      <c r="M38" s="10"/>
      <c r="N38" s="24" t="s">
        <v>19</v>
      </c>
      <c r="O38" s="2">
        <f>IF(N38=G38,1,0)</f>
        <v>0</v>
      </c>
      <c r="P38" s="9" t="s">
        <v>16</v>
      </c>
      <c r="Q38" s="31">
        <f>T38*S38</f>
        <v>34.375</v>
      </c>
      <c r="R38" s="24" t="s">
        <v>14</v>
      </c>
      <c r="S38" s="63">
        <v>1.375</v>
      </c>
      <c r="T38" s="42">
        <v>25</v>
      </c>
      <c r="U38" s="27"/>
      <c r="V38" s="24" t="s">
        <v>14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20</v>
      </c>
      <c r="O39" s="2">
        <f>IF(N39=G38,1,0)</f>
        <v>1</v>
      </c>
      <c r="P39" s="9" t="s">
        <v>17</v>
      </c>
      <c r="Q39" s="31">
        <f>T39*S39</f>
        <v>110</v>
      </c>
      <c r="R39" s="24" t="s">
        <v>14</v>
      </c>
      <c r="S39" s="63">
        <v>1.375</v>
      </c>
      <c r="T39" s="43">
        <v>80</v>
      </c>
      <c r="U39" s="31"/>
      <c r="V39" s="24" t="s">
        <v>14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21</v>
      </c>
      <c r="O40" s="2">
        <f>IF(N40=G38,1,0)</f>
        <v>0</v>
      </c>
      <c r="P40" s="9" t="s">
        <v>18</v>
      </c>
      <c r="Q40" s="31">
        <f>T40*S40</f>
        <v>192.5</v>
      </c>
      <c r="R40" s="24" t="s">
        <v>14</v>
      </c>
      <c r="S40" s="63">
        <v>1.375</v>
      </c>
      <c r="T40" s="42">
        <v>140</v>
      </c>
      <c r="U40" s="27"/>
      <c r="V40" s="24" t="s">
        <v>14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77" t="str">
        <f>IF(G22&gt;12,"","Maximum surface of the underfloor installation manageable by each pump unit, with a heat drop proportionate to the selected class of insulation:")</f>
        <v/>
      </c>
      <c r="C43" s="77"/>
      <c r="D43" s="77"/>
      <c r="E43" s="77"/>
      <c r="F43" s="77"/>
      <c r="G43" s="77"/>
      <c r="H43" s="77"/>
      <c r="I43" s="52" t="str">
        <f>IF(G22&gt;12,"",IF(G22&lt;=12,IF(O38=1,E25*1000/Q38,IF(O39=1,E25*1000/Q39,IF(O40=1,E25*1000/Q40,"- -"))),"- - "))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1.2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</row>
    <row r="47" spans="1:24" ht="18.75" customHeight="1" x14ac:dyDescent="0.3">
      <c r="A47" s="7"/>
      <c r="B47" s="62" t="s">
        <v>32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10"/>
      <c r="N47" s="32"/>
    </row>
    <row r="48" spans="1:24" ht="30" customHeight="1" x14ac:dyDescent="0.3">
      <c r="A48" s="7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10"/>
      <c r="N48" s="32"/>
    </row>
    <row r="49" spans="1:14" ht="30" customHeight="1" x14ac:dyDescent="0.3">
      <c r="A49" s="7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10"/>
      <c r="N49" s="32"/>
    </row>
    <row r="50" spans="1:14" ht="30" customHeight="1" x14ac:dyDescent="0.3">
      <c r="A50" s="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10"/>
      <c r="N50" s="32"/>
    </row>
    <row r="51" spans="1:14" ht="10.5" customHeight="1" x14ac:dyDescent="0.3">
      <c r="A51" s="17"/>
      <c r="B51" s="18"/>
      <c r="C51" s="18"/>
      <c r="D51" s="18"/>
      <c r="E51" s="18"/>
      <c r="F51" s="19"/>
      <c r="G51" s="18"/>
      <c r="H51" s="18"/>
      <c r="I51" s="19"/>
      <c r="J51" s="19"/>
      <c r="K51" s="18"/>
      <c r="L51" s="18"/>
      <c r="M51" s="20"/>
    </row>
  </sheetData>
  <sheetProtection algorithmName="SHA-512" hashValue="zyd+KUVbsaED05xoQROPJoRzaHVF/uvI7bkkDIf0StDuscEPXf/A/TPmdkRovqf2SraJ7QwxOgr1/p4OsfOC5Q==" saltValue="Q/xNJtfgS6Y69woH/N7yxw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11" priority="4" operator="lessThan">
      <formula>0.5</formula>
    </cfRule>
  </conditionalFormatting>
  <conditionalFormatting sqref="K5">
    <cfRule type="cellIs" dxfId="10" priority="3" operator="greaterThan">
      <formula>50</formula>
    </cfRule>
  </conditionalFormatting>
  <conditionalFormatting sqref="E25:F25">
    <cfRule type="expression" dxfId="9" priority="1" stopIfTrue="1">
      <formula>$N$25&gt;=0.1</formula>
    </cfRule>
    <cfRule type="expression" dxfId="8" priority="2">
      <formula>$N$25&gt;0</formula>
    </cfRule>
  </conditionalFormatting>
  <dataValidations count="3">
    <dataValidation type="list" allowBlank="1" showInputMessage="1" showErrorMessage="1" sqref="G38" xr:uid="{00000000-0002-0000-0100-000000000000}">
      <formula1>$N$38:$N$40</formula1>
    </dataValidation>
    <dataValidation type="list" allowBlank="1" showInputMessage="1" showErrorMessage="1" promptTitle="Scegliere un circolatore" sqref="G27:J27" xr:uid="{00000000-0002-0000-0100-000001000000}">
      <formula1>$N$27:$N$29</formula1>
    </dataValidation>
    <dataValidation type="list" allowBlank="1" showErrorMessage="1" sqref="G10:J10" xr:uid="{00000000-0002-0000-0100-000002000000}">
      <formula1>$N$10:$N$17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1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67" t="s">
        <v>62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"/>
    </row>
    <row r="2" spans="1:24" ht="188.25" customHeight="1" x14ac:dyDescent="0.3">
      <c r="A2" s="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0"/>
    </row>
    <row r="3" spans="1:24" ht="11.25" customHeight="1" x14ac:dyDescent="0.3">
      <c r="A3" s="7"/>
      <c r="M3" s="10"/>
    </row>
    <row r="4" spans="1:24" ht="10.5" customHeight="1" x14ac:dyDescent="0.3">
      <c r="A4" s="7"/>
      <c r="M4" s="10"/>
    </row>
    <row r="5" spans="1:24" x14ac:dyDescent="0.3">
      <c r="A5" s="7"/>
      <c r="B5" s="21"/>
      <c r="K5" s="30"/>
      <c r="L5" s="21"/>
      <c r="M5" s="10"/>
      <c r="R5" s="59" t="s">
        <v>29</v>
      </c>
      <c r="S5" s="68" t="s">
        <v>25</v>
      </c>
      <c r="T5" s="68"/>
      <c r="U5" s="68"/>
      <c r="V5" s="69" t="s">
        <v>27</v>
      </c>
      <c r="W5" s="69"/>
      <c r="X5" s="69"/>
    </row>
    <row r="6" spans="1:24" x14ac:dyDescent="0.3">
      <c r="A6" s="7"/>
      <c r="M6" s="10"/>
      <c r="R6" s="59" t="s">
        <v>31</v>
      </c>
      <c r="S6" s="68" t="s">
        <v>26</v>
      </c>
      <c r="T6" s="68"/>
      <c r="U6" s="68"/>
      <c r="V6" s="69" t="s">
        <v>28</v>
      </c>
      <c r="W6" s="69"/>
      <c r="X6" s="69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68" t="s">
        <v>30</v>
      </c>
      <c r="S7" s="78" t="s">
        <v>22</v>
      </c>
      <c r="T7" s="78" t="s">
        <v>23</v>
      </c>
      <c r="U7" s="78" t="s">
        <v>24</v>
      </c>
      <c r="V7" s="73" t="s">
        <v>22</v>
      </c>
      <c r="W7" s="73" t="s">
        <v>23</v>
      </c>
      <c r="X7" s="73" t="s">
        <v>24</v>
      </c>
    </row>
    <row r="8" spans="1:24" ht="11.25" customHeight="1" x14ac:dyDescent="0.3">
      <c r="R8" s="68"/>
      <c r="S8" s="78"/>
      <c r="T8" s="78"/>
      <c r="U8" s="78"/>
      <c r="V8" s="73"/>
      <c r="W8" s="73"/>
      <c r="X8" s="73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/>
      <c r="G10" s="74" t="s">
        <v>42</v>
      </c>
      <c r="H10" s="74"/>
      <c r="I10" s="74"/>
      <c r="J10" s="74"/>
      <c r="M10" s="10"/>
      <c r="N10" s="47" t="s">
        <v>42</v>
      </c>
      <c r="O10" s="2">
        <f>IF(G10=N10,1,0)</f>
        <v>1</v>
      </c>
      <c r="P10" s="9" t="s">
        <v>12</v>
      </c>
      <c r="Q10" s="41">
        <v>8</v>
      </c>
      <c r="R10" s="44">
        <v>2.6</v>
      </c>
      <c r="S10" s="65">
        <v>2972</v>
      </c>
      <c r="T10" s="65">
        <v>2421</v>
      </c>
      <c r="U10" s="65">
        <v>2161</v>
      </c>
      <c r="V10" s="45">
        <f>S10*$G22/860</f>
        <v>69.116279069767444</v>
      </c>
      <c r="W10" s="45">
        <f>T10*$G22/860</f>
        <v>56.302325581395351</v>
      </c>
      <c r="X10" s="45">
        <f>U10*$G22/860</f>
        <v>50.255813953488371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43</v>
      </c>
      <c r="O11" s="2">
        <f>IF(G10=N11,1,0)</f>
        <v>0</v>
      </c>
      <c r="P11" s="9" t="s">
        <v>12</v>
      </c>
      <c r="Q11" s="41">
        <v>6</v>
      </c>
      <c r="R11" s="44">
        <v>4.0999999999999996</v>
      </c>
      <c r="S11" s="65">
        <v>2284</v>
      </c>
      <c r="T11" s="65">
        <v>1770</v>
      </c>
      <c r="U11" s="65">
        <v>1511</v>
      </c>
      <c r="V11" s="45">
        <f>S11*$G22/860</f>
        <v>53.116279069767444</v>
      </c>
      <c r="W11" s="45">
        <f>T11*$G22/860</f>
        <v>41.162790697674417</v>
      </c>
      <c r="X11" s="45">
        <f>U11*$G22/860</f>
        <v>35.139534883720927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44</v>
      </c>
      <c r="O12" s="2">
        <f>IF(G10=N12,1,0)</f>
        <v>0</v>
      </c>
      <c r="P12" s="9" t="s">
        <v>12</v>
      </c>
      <c r="Q12" s="41">
        <v>7</v>
      </c>
      <c r="R12" s="44">
        <v>2.2999999999999998</v>
      </c>
      <c r="S12" s="65">
        <v>2935</v>
      </c>
      <c r="T12" s="65">
        <v>2425</v>
      </c>
      <c r="U12" s="65">
        <v>2189</v>
      </c>
      <c r="V12" s="45">
        <f>S12*$G22/860</f>
        <v>68.255813953488371</v>
      </c>
      <c r="W12" s="45">
        <f>T12*$G22/860</f>
        <v>56.395348837209305</v>
      </c>
      <c r="X12" s="45">
        <f>U12*$G22/860</f>
        <v>50.906976744186046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45</v>
      </c>
      <c r="O13" s="2">
        <f>IF(G10=N13,1,0)</f>
        <v>0</v>
      </c>
      <c r="P13" s="9" t="s">
        <v>12</v>
      </c>
      <c r="Q13" s="41">
        <v>5</v>
      </c>
      <c r="R13" s="44">
        <v>4.8</v>
      </c>
      <c r="S13" s="65">
        <v>1948</v>
      </c>
      <c r="T13" s="65">
        <v>1462</v>
      </c>
      <c r="U13" s="65">
        <v>1209</v>
      </c>
      <c r="V13" s="45">
        <f>S13*$G22/860</f>
        <v>45.302325581395351</v>
      </c>
      <c r="W13" s="45">
        <f>T13*$G22/860</f>
        <v>34</v>
      </c>
      <c r="X13" s="45">
        <f>U13*$G22/860</f>
        <v>28.11627906976744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46</v>
      </c>
      <c r="O14" s="2">
        <f>IF(G10=N14,1,0)</f>
        <v>0</v>
      </c>
      <c r="P14" s="9" t="s">
        <v>12</v>
      </c>
      <c r="Q14" s="41">
        <v>2.2000000000000002</v>
      </c>
      <c r="R14" s="44">
        <v>5.8</v>
      </c>
      <c r="S14" s="65">
        <v>924</v>
      </c>
      <c r="T14" s="65">
        <v>801</v>
      </c>
      <c r="U14" s="65">
        <v>487</v>
      </c>
      <c r="V14" s="45">
        <f>S14*$G22/860</f>
        <v>21.488372093023255</v>
      </c>
      <c r="W14" s="45">
        <f>T14*$G22/860</f>
        <v>18.627906976744185</v>
      </c>
      <c r="X14" s="45">
        <f>U14*$G22/860</f>
        <v>11.325581395348838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47</v>
      </c>
      <c r="O15" s="2">
        <f>IF(G10=N15,1,0)</f>
        <v>0</v>
      </c>
      <c r="P15" s="9" t="s">
        <v>12</v>
      </c>
      <c r="Q15" s="41">
        <v>3.3</v>
      </c>
      <c r="R15" s="44">
        <v>5.3</v>
      </c>
      <c r="S15" s="65">
        <v>1493</v>
      </c>
      <c r="T15" s="65">
        <v>1111</v>
      </c>
      <c r="U15" s="65">
        <v>901</v>
      </c>
      <c r="V15" s="45">
        <f>S15*$G22/860</f>
        <v>34.720930232558139</v>
      </c>
      <c r="W15" s="45">
        <f>T15*$G22/860</f>
        <v>25.837209302325583</v>
      </c>
      <c r="X15" s="45">
        <f>U15*$G22/860</f>
        <v>20.953488372093023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48</v>
      </c>
      <c r="O16" s="2">
        <f>IF(G10=N16,1,0)</f>
        <v>0</v>
      </c>
      <c r="P16" s="9" t="s">
        <v>12</v>
      </c>
      <c r="Q16" s="41">
        <v>6</v>
      </c>
      <c r="R16" s="44">
        <v>4.0999999999999996</v>
      </c>
      <c r="S16" s="65">
        <v>2284</v>
      </c>
      <c r="T16" s="65">
        <v>1770</v>
      </c>
      <c r="U16" s="65">
        <v>1511</v>
      </c>
      <c r="V16" s="45">
        <f>S16*$G22/860</f>
        <v>53.116279069767444</v>
      </c>
      <c r="W16" s="45">
        <f>T16*$G22/860</f>
        <v>41.162790697674417</v>
      </c>
      <c r="X16" s="45">
        <f>U16*$G22/860</f>
        <v>35.139534883720927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49</v>
      </c>
      <c r="O17" s="2">
        <f>IF(G10=N17,1,0)</f>
        <v>0</v>
      </c>
      <c r="P17" s="9" t="s">
        <v>12</v>
      </c>
      <c r="Q17" s="41">
        <v>6</v>
      </c>
      <c r="R17" s="44">
        <v>4.0999999999999996</v>
      </c>
      <c r="S17" s="65">
        <v>2284</v>
      </c>
      <c r="T17" s="65">
        <v>1770</v>
      </c>
      <c r="U17" s="65">
        <v>1511</v>
      </c>
      <c r="V17" s="45">
        <f>S17*$G22/860</f>
        <v>53.116279069767444</v>
      </c>
      <c r="W17" s="45">
        <f>T17*$G22/860</f>
        <v>41.162790697674417</v>
      </c>
      <c r="X17" s="45">
        <f>U17*$G22/860</f>
        <v>35.139534883720927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51</v>
      </c>
      <c r="O18" s="2">
        <f>IF(G10=N18,1,0)</f>
        <v>0</v>
      </c>
      <c r="P18" s="9" t="s">
        <v>12</v>
      </c>
      <c r="Q18" s="41"/>
      <c r="R18" s="44"/>
      <c r="S18" s="44"/>
      <c r="T18" s="44"/>
      <c r="U18" s="44"/>
      <c r="V18" s="45">
        <f>S18*$G22/860</f>
        <v>0</v>
      </c>
      <c r="W18" s="45">
        <f t="shared" ref="W18:X18" si="0">T18*$G22/860</f>
        <v>0</v>
      </c>
      <c r="X18" s="45">
        <f t="shared" si="0"/>
        <v>0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51</v>
      </c>
      <c r="O19" s="2">
        <f>IF(G10=N19,1,0)</f>
        <v>0</v>
      </c>
      <c r="P19" s="9" t="s">
        <v>12</v>
      </c>
      <c r="Q19" s="41"/>
      <c r="R19" s="44"/>
      <c r="S19" s="44"/>
      <c r="T19" s="44"/>
      <c r="U19" s="44"/>
      <c r="V19" s="45">
        <f>S19*$G22/860</f>
        <v>0</v>
      </c>
      <c r="W19" s="45">
        <f t="shared" ref="W19:X19" si="1">T19*$G22/860</f>
        <v>0</v>
      </c>
      <c r="X19" s="45">
        <f t="shared" si="1"/>
        <v>0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G21" s="1"/>
      <c r="H21" s="75"/>
      <c r="I21" s="75"/>
      <c r="J21" s="75"/>
      <c r="K21" s="75"/>
      <c r="L21" s="75"/>
      <c r="M21" s="10"/>
    </row>
    <row r="22" spans="1:24" x14ac:dyDescent="0.3">
      <c r="A22" s="7"/>
      <c r="B22" t="s">
        <v>63</v>
      </c>
      <c r="G22" s="60">
        <v>20</v>
      </c>
      <c r="H22" t="s">
        <v>1</v>
      </c>
      <c r="M22" s="10"/>
      <c r="N22" s="49"/>
    </row>
    <row r="23" spans="1:24" ht="15.6" x14ac:dyDescent="0.3">
      <c r="A23" s="7"/>
      <c r="B23" t="s">
        <v>64</v>
      </c>
      <c r="G23" s="60">
        <v>2150</v>
      </c>
      <c r="H23" s="22" t="s">
        <v>2</v>
      </c>
      <c r="I23" s="8"/>
      <c r="J23" s="8"/>
      <c r="K23" s="51"/>
      <c r="L23" s="25"/>
      <c r="M23" s="10"/>
      <c r="N23" s="49"/>
      <c r="P23" s="58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/>
      <c r="M24" s="10"/>
      <c r="N24" s="49"/>
    </row>
    <row r="25" spans="1:24" ht="15.6" x14ac:dyDescent="0.3">
      <c r="A25" s="7"/>
      <c r="B25" s="13" t="s">
        <v>82</v>
      </c>
      <c r="E25" s="30">
        <f>G23*G22/860</f>
        <v>50</v>
      </c>
      <c r="F25" s="21" t="s">
        <v>0</v>
      </c>
      <c r="H25" s="56" t="s">
        <v>65</v>
      </c>
      <c r="I25" s="54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57" t="s">
        <v>15</v>
      </c>
      <c r="K25" s="30"/>
      <c r="L25" s="21"/>
      <c r="M25" s="10"/>
      <c r="N25" s="55">
        <f>E25/I25-1</f>
        <v>-5.0902360018509896E-3</v>
      </c>
      <c r="P25" s="28"/>
      <c r="Q25" s="24"/>
      <c r="S25" s="58" t="s">
        <v>10</v>
      </c>
      <c r="T25" s="58" t="s">
        <v>11</v>
      </c>
      <c r="U25" s="58"/>
    </row>
    <row r="26" spans="1:24" x14ac:dyDescent="0.3">
      <c r="A26" s="7"/>
      <c r="M26" s="10"/>
      <c r="P26" s="58" t="s">
        <v>8</v>
      </c>
      <c r="Q26" s="58" t="s">
        <v>7</v>
      </c>
      <c r="R26" s="58" t="s">
        <v>6</v>
      </c>
      <c r="S26" s="58" t="s">
        <v>9</v>
      </c>
      <c r="T26" s="58" t="s">
        <v>9</v>
      </c>
      <c r="U26" s="58"/>
      <c r="V26" s="58" t="s">
        <v>4</v>
      </c>
      <c r="W26" s="58" t="s">
        <v>5</v>
      </c>
      <c r="X26" s="58"/>
    </row>
    <row r="27" spans="1:24" x14ac:dyDescent="0.3">
      <c r="A27" s="7"/>
      <c r="B27" t="s">
        <v>66</v>
      </c>
      <c r="G27" s="76" t="s">
        <v>85</v>
      </c>
      <c r="H27" s="76"/>
      <c r="I27" s="76"/>
      <c r="J27" s="76"/>
      <c r="M27" s="10"/>
      <c r="N27" s="2" t="s">
        <v>84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5.885723500000001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52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4.1388445000000003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85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3.3692439999999992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67</v>
      </c>
      <c r="I32" s="26">
        <f>IF(O30=1,IF(AND(P30=1,Q30=1),V27,IF(AND(P30=1,Q30=2),W27,IF(AND(P30=2,Q30=1),V28,IF(AND(P30=2,Q30=2),W28,IF(AND(P30=3,Q30=1),V29,IF(AND(P30=3,Q30=2),W29,"Errore")))))),"- -")</f>
        <v>3.3692439999999992</v>
      </c>
      <c r="J32" t="s">
        <v>3</v>
      </c>
      <c r="M32" s="10"/>
    </row>
    <row r="33" spans="1:24" x14ac:dyDescent="0.3">
      <c r="A33" s="7"/>
      <c r="H33" s="14" t="s">
        <v>68</v>
      </c>
      <c r="I33" s="26">
        <f>IF(O30=1,IF(S33&lt;0.2,0.2,S33),"- -")</f>
        <v>0.73656648437499994</v>
      </c>
      <c r="J33" t="s">
        <v>3</v>
      </c>
      <c r="M33" s="10"/>
      <c r="P33" s="9" t="s">
        <v>12</v>
      </c>
      <c r="Q33" s="24">
        <f>IF(O10=1,Q10,IF(O11=1,Q11,IF(O12=1,Q12,IF(O13=1,Q13,IF(O14=1,Q14,IF(O15=1,Q15,IF(O16=1,Q16,IF(O17=1,Q17,IF(O17=1,Q17,IF(O18=1,Q18,IF(O19=1,Q19,"Errore!")))))))))))</f>
        <v>8</v>
      </c>
      <c r="R33" s="28" t="s">
        <v>13</v>
      </c>
      <c r="S33" s="9">
        <f>(G23/1000/Q33)^2*10.198</f>
        <v>0.73656648437499994</v>
      </c>
    </row>
    <row r="34" spans="1:24" ht="15.6" x14ac:dyDescent="0.3">
      <c r="A34" s="7"/>
      <c r="H34" s="15" t="s">
        <v>69</v>
      </c>
      <c r="I34" s="23">
        <f>IF(O30=1,I32-I33,"- -")</f>
        <v>2.6326775156249993</v>
      </c>
      <c r="J34" s="16" t="s">
        <v>3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IF(G22&lt;=12,"Calcul installation plancher chauffant:","Calcul installation plancher chauffant non disponible avec Δt &gt; 12 K")</f>
        <v>Calcul installation plancher chauffant non disponible avec Δt &gt; 12 K</v>
      </c>
      <c r="H36" s="15"/>
      <c r="I36" s="23"/>
      <c r="J36" s="16"/>
      <c r="M36" s="10"/>
      <c r="N36" s="32"/>
      <c r="S36" s="64" t="s">
        <v>50</v>
      </c>
    </row>
    <row r="37" spans="1:24" ht="9" customHeight="1" x14ac:dyDescent="0.3">
      <c r="A37" s="7"/>
      <c r="H37" s="15"/>
      <c r="I37" s="23"/>
      <c r="J37" s="16"/>
      <c r="M37" s="10"/>
      <c r="N37" s="32"/>
      <c r="S37" s="63"/>
    </row>
    <row r="38" spans="1:24" x14ac:dyDescent="0.3">
      <c r="A38" s="7"/>
      <c r="B38" t="s">
        <v>70</v>
      </c>
      <c r="F38" s="14"/>
      <c r="G38" s="61" t="s">
        <v>20</v>
      </c>
      <c r="I38" s="38" t="str">
        <f>IF(G22&gt;12,"","Utiliser Δt=")</f>
        <v/>
      </c>
      <c r="J38" s="16" t="str">
        <f>IF(G22&gt;12,"",IF(G38=N38,P38,IF(G38=N39,P39,IF(G38=N40,P40,""))))</f>
        <v/>
      </c>
      <c r="M38" s="10"/>
      <c r="N38" s="24" t="s">
        <v>19</v>
      </c>
      <c r="O38" s="2">
        <f>IF(N38=G38,1,0)</f>
        <v>0</v>
      </c>
      <c r="P38" s="9" t="s">
        <v>16</v>
      </c>
      <c r="Q38" s="31">
        <f>T38*S38</f>
        <v>34.375</v>
      </c>
      <c r="R38" s="24" t="s">
        <v>14</v>
      </c>
      <c r="S38" s="63">
        <v>1.375</v>
      </c>
      <c r="T38" s="42">
        <v>25</v>
      </c>
      <c r="U38" s="27"/>
      <c r="V38" s="24" t="s">
        <v>14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20</v>
      </c>
      <c r="O39" s="2">
        <f>IF(N39=G38,1,0)</f>
        <v>1</v>
      </c>
      <c r="P39" s="9" t="s">
        <v>17</v>
      </c>
      <c r="Q39" s="31">
        <f>T39*S39</f>
        <v>110</v>
      </c>
      <c r="R39" s="24" t="s">
        <v>14</v>
      </c>
      <c r="S39" s="63">
        <v>1.375</v>
      </c>
      <c r="T39" s="43">
        <v>80</v>
      </c>
      <c r="U39" s="31"/>
      <c r="V39" s="24" t="s">
        <v>14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21</v>
      </c>
      <c r="O40" s="2">
        <f>IF(N40=G38,1,0)</f>
        <v>0</v>
      </c>
      <c r="P40" s="9" t="s">
        <v>18</v>
      </c>
      <c r="Q40" s="31">
        <f>T40*S40</f>
        <v>192.5</v>
      </c>
      <c r="R40" s="24" t="s">
        <v>14</v>
      </c>
      <c r="S40" s="63">
        <v>1.375</v>
      </c>
      <c r="T40" s="42">
        <v>140</v>
      </c>
      <c r="U40" s="27"/>
      <c r="V40" s="24" t="s">
        <v>14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77" t="str">
        <f>IF(G22&gt;12,"","Surface maxima du plancher chauffant gérable par chaque Module, avec un saut thermique proportionné à la classe d’isolation thermique sélectionnée:")</f>
        <v/>
      </c>
      <c r="C43" s="77"/>
      <c r="D43" s="77"/>
      <c r="E43" s="77"/>
      <c r="F43" s="77"/>
      <c r="G43" s="77"/>
      <c r="H43" s="77"/>
      <c r="I43" s="52" t="str">
        <f>IF(G22&gt;12,"",IF(G22&lt;=12,IF(O38=1,E25*1000/Q38,IF(O39=1,E25*1000/Q39,IF(O40=1,E25*1000/Q40,"- -"))),"- - "))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1.2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</row>
    <row r="47" spans="1:24" ht="18.75" customHeight="1" x14ac:dyDescent="0.3">
      <c r="A47" s="7"/>
      <c r="B47" s="62" t="s">
        <v>32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10"/>
      <c r="N47" s="32"/>
    </row>
    <row r="48" spans="1:24" ht="30" customHeight="1" x14ac:dyDescent="0.3">
      <c r="A48" s="7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10"/>
      <c r="N48" s="32"/>
    </row>
    <row r="49" spans="1:14" ht="30" customHeight="1" x14ac:dyDescent="0.3">
      <c r="A49" s="7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10"/>
      <c r="N49" s="32"/>
    </row>
    <row r="50" spans="1:14" ht="30" customHeight="1" x14ac:dyDescent="0.3">
      <c r="A50" s="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10"/>
      <c r="N50" s="32"/>
    </row>
    <row r="51" spans="1:14" ht="10.5" customHeight="1" x14ac:dyDescent="0.3">
      <c r="A51" s="17"/>
      <c r="B51" s="18"/>
      <c r="C51" s="18"/>
      <c r="D51" s="18"/>
      <c r="E51" s="18"/>
      <c r="F51" s="19"/>
      <c r="G51" s="18"/>
      <c r="H51" s="18"/>
      <c r="I51" s="19"/>
      <c r="J51" s="19"/>
      <c r="K51" s="18"/>
      <c r="L51" s="18"/>
      <c r="M51" s="20"/>
    </row>
  </sheetData>
  <sheetProtection algorithmName="SHA-512" hashValue="h1aU5XUNXnsav/eOmSFMpljWY8rU2oB8mkDeFf+r6YqMbNSeadgPWuTbow/1umnLrR4hhR51imqkBkc2ja+L9g==" saltValue="fRheDgUq7R5EFT8BGN0C4g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7" priority="4" operator="lessThan">
      <formula>0.5</formula>
    </cfRule>
  </conditionalFormatting>
  <conditionalFormatting sqref="K5">
    <cfRule type="cellIs" dxfId="6" priority="3" operator="greaterThan">
      <formula>50</formula>
    </cfRule>
  </conditionalFormatting>
  <conditionalFormatting sqref="E25:F25">
    <cfRule type="expression" dxfId="5" priority="1" stopIfTrue="1">
      <formula>$N$25&gt;=0.1</formula>
    </cfRule>
    <cfRule type="expression" dxfId="4" priority="2">
      <formula>$N$25&gt;0</formula>
    </cfRule>
  </conditionalFormatting>
  <dataValidations count="3">
    <dataValidation type="list" allowBlank="1" showInputMessage="1" showErrorMessage="1" sqref="G38" xr:uid="{00000000-0002-0000-0200-000000000000}">
      <formula1>$N$38:$N$40</formula1>
    </dataValidation>
    <dataValidation type="list" allowBlank="1" showInputMessage="1" showErrorMessage="1" promptTitle="Scegliere un circolatore" sqref="G27:J27" xr:uid="{00000000-0002-0000-0200-000001000000}">
      <formula1>$N$27:$N$29</formula1>
    </dataValidation>
    <dataValidation type="list" allowBlank="1" showErrorMessage="1" sqref="G10:J10" xr:uid="{00000000-0002-0000-0200-000002000000}">
      <formula1>$N$10:$N$17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1"/>
  <sheetViews>
    <sheetView workbookViewId="0">
      <selection activeCell="G10" sqref="G10:J10"/>
    </sheetView>
  </sheetViews>
  <sheetFormatPr defaultRowHeight="14.4" x14ac:dyDescent="0.3"/>
  <cols>
    <col min="1" max="1" width="1.44140625" customWidth="1"/>
    <col min="4" max="4" width="11.44140625" customWidth="1"/>
    <col min="5" max="5" width="17.88671875" customWidth="1"/>
    <col min="6" max="6" width="5.6640625" style="1" customWidth="1"/>
    <col min="7" max="7" width="5" customWidth="1"/>
    <col min="8" max="8" width="7.88671875" customWidth="1"/>
    <col min="9" max="9" width="7.33203125" style="1" customWidth="1"/>
    <col min="10" max="10" width="7.88671875" style="1" customWidth="1"/>
    <col min="11" max="11" width="9.6640625" bestFit="1" customWidth="1"/>
    <col min="12" max="12" width="3.88671875" bestFit="1" customWidth="1"/>
    <col min="13" max="13" width="1.44140625" customWidth="1"/>
    <col min="14" max="14" width="34.5546875" style="2" hidden="1" customWidth="1"/>
    <col min="15" max="15" width="4" style="2" hidden="1" customWidth="1"/>
    <col min="16" max="16" width="11.33203125" style="9" hidden="1" customWidth="1"/>
    <col min="17" max="17" width="12.44140625" style="9" hidden="1" customWidth="1"/>
    <col min="18" max="21" width="11.33203125" style="9" hidden="1" customWidth="1"/>
    <col min="22" max="24" width="14.109375" style="9" hidden="1" customWidth="1"/>
  </cols>
  <sheetData>
    <row r="1" spans="1:24" ht="75.75" customHeight="1" x14ac:dyDescent="0.35">
      <c r="A1" s="3"/>
      <c r="B1" s="67" t="s">
        <v>79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"/>
    </row>
    <row r="2" spans="1:24" ht="188.25" customHeight="1" x14ac:dyDescent="0.3">
      <c r="A2" s="7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0"/>
    </row>
    <row r="3" spans="1:24" ht="11.25" customHeight="1" x14ac:dyDescent="0.3">
      <c r="A3" s="7"/>
      <c r="M3" s="10"/>
    </row>
    <row r="4" spans="1:24" ht="10.5" customHeight="1" x14ac:dyDescent="0.3">
      <c r="A4" s="7"/>
      <c r="M4" s="10"/>
    </row>
    <row r="5" spans="1:24" x14ac:dyDescent="0.3">
      <c r="A5" s="7"/>
      <c r="B5" s="21"/>
      <c r="K5" s="30"/>
      <c r="L5" s="21"/>
      <c r="M5" s="10"/>
      <c r="R5" s="59" t="s">
        <v>29</v>
      </c>
      <c r="S5" s="68" t="s">
        <v>25</v>
      </c>
      <c r="T5" s="68"/>
      <c r="U5" s="68"/>
      <c r="V5" s="69" t="s">
        <v>27</v>
      </c>
      <c r="W5" s="69"/>
      <c r="X5" s="69"/>
    </row>
    <row r="6" spans="1:24" x14ac:dyDescent="0.3">
      <c r="A6" s="7"/>
      <c r="M6" s="10"/>
      <c r="R6" s="59" t="s">
        <v>31</v>
      </c>
      <c r="S6" s="68" t="s">
        <v>26</v>
      </c>
      <c r="T6" s="68"/>
      <c r="U6" s="68"/>
      <c r="V6" s="69" t="s">
        <v>28</v>
      </c>
      <c r="W6" s="69"/>
      <c r="X6" s="69"/>
    </row>
    <row r="7" spans="1:24" ht="10.5" customHeight="1" x14ac:dyDescent="0.3">
      <c r="A7" s="17"/>
      <c r="B7" s="18"/>
      <c r="C7" s="18"/>
      <c r="D7" s="18"/>
      <c r="E7" s="18"/>
      <c r="F7" s="19"/>
      <c r="G7" s="18"/>
      <c r="H7" s="18"/>
      <c r="I7" s="19"/>
      <c r="J7" s="19"/>
      <c r="K7" s="18"/>
      <c r="L7" s="18"/>
      <c r="M7" s="20"/>
      <c r="R7" s="68" t="s">
        <v>30</v>
      </c>
      <c r="S7" s="78" t="s">
        <v>22</v>
      </c>
      <c r="T7" s="78" t="s">
        <v>23</v>
      </c>
      <c r="U7" s="78" t="s">
        <v>24</v>
      </c>
      <c r="V7" s="73" t="s">
        <v>22</v>
      </c>
      <c r="W7" s="73" t="s">
        <v>23</v>
      </c>
      <c r="X7" s="73" t="s">
        <v>24</v>
      </c>
    </row>
    <row r="8" spans="1:24" ht="11.25" customHeight="1" x14ac:dyDescent="0.3">
      <c r="R8" s="68"/>
      <c r="S8" s="78"/>
      <c r="T8" s="78"/>
      <c r="U8" s="78"/>
      <c r="V8" s="73"/>
      <c r="W8" s="73"/>
      <c r="X8" s="73"/>
    </row>
    <row r="9" spans="1:24" ht="10.5" customHeight="1" x14ac:dyDescent="0.3">
      <c r="A9" s="3"/>
      <c r="B9" s="4"/>
      <c r="C9" s="4"/>
      <c r="D9" s="4"/>
      <c r="E9" s="4"/>
      <c r="F9" s="5"/>
      <c r="G9" s="4"/>
      <c r="H9" s="4"/>
      <c r="I9" s="5"/>
      <c r="J9" s="5"/>
      <c r="K9" s="4"/>
      <c r="L9" s="4"/>
      <c r="M9" s="6"/>
      <c r="Q9" s="53"/>
      <c r="R9" s="44"/>
      <c r="S9" s="44"/>
      <c r="T9" s="44"/>
      <c r="U9" s="44"/>
    </row>
    <row r="10" spans="1:24" ht="15.6" x14ac:dyDescent="0.3">
      <c r="A10" s="7"/>
      <c r="B10" s="8"/>
      <c r="G10" s="74" t="s">
        <v>42</v>
      </c>
      <c r="H10" s="74"/>
      <c r="I10" s="74"/>
      <c r="J10" s="74"/>
      <c r="M10" s="10"/>
      <c r="N10" s="47" t="s">
        <v>42</v>
      </c>
      <c r="O10" s="2">
        <f>IF(G10=N10,1,0)</f>
        <v>1</v>
      </c>
      <c r="P10" s="9" t="s">
        <v>12</v>
      </c>
      <c r="Q10" s="41">
        <v>8</v>
      </c>
      <c r="R10" s="44">
        <v>2.6</v>
      </c>
      <c r="S10" s="65">
        <v>2972</v>
      </c>
      <c r="T10" s="65">
        <v>2421</v>
      </c>
      <c r="U10" s="65">
        <v>2161</v>
      </c>
      <c r="V10" s="45">
        <f>S10*$G22/860</f>
        <v>69.116279069767444</v>
      </c>
      <c r="W10" s="45">
        <f>T10*$G22/860</f>
        <v>56.302325581395351</v>
      </c>
      <c r="X10" s="45">
        <f>U10*$G22/860</f>
        <v>50.255813953488371</v>
      </c>
    </row>
    <row r="11" spans="1:24" s="2" customFormat="1" ht="15.6" hidden="1" x14ac:dyDescent="0.3">
      <c r="A11" s="34"/>
      <c r="B11" s="37"/>
      <c r="F11" s="9"/>
      <c r="G11" s="9"/>
      <c r="I11" s="9"/>
      <c r="J11" s="9"/>
      <c r="M11" s="35"/>
      <c r="N11" s="47" t="s">
        <v>43</v>
      </c>
      <c r="O11" s="2">
        <f>IF(G10=N11,1,0)</f>
        <v>0</v>
      </c>
      <c r="P11" s="9" t="s">
        <v>12</v>
      </c>
      <c r="Q11" s="41">
        <v>6</v>
      </c>
      <c r="R11" s="44">
        <v>4.0999999999999996</v>
      </c>
      <c r="S11" s="65">
        <v>2284</v>
      </c>
      <c r="T11" s="65">
        <v>1770</v>
      </c>
      <c r="U11" s="65">
        <v>1511</v>
      </c>
      <c r="V11" s="45">
        <f>S11*$G22/860</f>
        <v>53.116279069767444</v>
      </c>
      <c r="W11" s="45">
        <f>T11*$G22/860</f>
        <v>41.162790697674417</v>
      </c>
      <c r="X11" s="45">
        <f>U11*$G22/860</f>
        <v>35.139534883720927</v>
      </c>
    </row>
    <row r="12" spans="1:24" s="2" customFormat="1" ht="15.6" hidden="1" x14ac:dyDescent="0.3">
      <c r="A12" s="34"/>
      <c r="B12" s="37"/>
      <c r="F12" s="9"/>
      <c r="G12" s="9"/>
      <c r="I12" s="9"/>
      <c r="J12" s="9"/>
      <c r="M12" s="35"/>
      <c r="N12" s="47" t="s">
        <v>44</v>
      </c>
      <c r="O12" s="2">
        <f>IF(G10=N12,1,0)</f>
        <v>0</v>
      </c>
      <c r="P12" s="9" t="s">
        <v>12</v>
      </c>
      <c r="Q12" s="41">
        <v>7</v>
      </c>
      <c r="R12" s="44">
        <v>2.2999999999999998</v>
      </c>
      <c r="S12" s="65">
        <v>2935</v>
      </c>
      <c r="T12" s="65">
        <v>2425</v>
      </c>
      <c r="U12" s="65">
        <v>2189</v>
      </c>
      <c r="V12" s="45">
        <f>S12*$G22/860</f>
        <v>68.255813953488371</v>
      </c>
      <c r="W12" s="45">
        <f>T12*$G22/860</f>
        <v>56.395348837209305</v>
      </c>
      <c r="X12" s="45">
        <f>U12*$G22/860</f>
        <v>50.906976744186046</v>
      </c>
    </row>
    <row r="13" spans="1:24" s="2" customFormat="1" ht="15.6" hidden="1" x14ac:dyDescent="0.3">
      <c r="A13" s="34"/>
      <c r="B13" s="37"/>
      <c r="F13" s="9"/>
      <c r="G13" s="9"/>
      <c r="I13" s="9"/>
      <c r="J13" s="9"/>
      <c r="M13" s="35"/>
      <c r="N13" s="47" t="s">
        <v>45</v>
      </c>
      <c r="O13" s="2">
        <f>IF(G10=N13,1,0)</f>
        <v>0</v>
      </c>
      <c r="P13" s="9" t="s">
        <v>12</v>
      </c>
      <c r="Q13" s="41">
        <v>5</v>
      </c>
      <c r="R13" s="44">
        <v>4.8</v>
      </c>
      <c r="S13" s="65">
        <v>1948</v>
      </c>
      <c r="T13" s="65">
        <v>1462</v>
      </c>
      <c r="U13" s="65">
        <v>1209</v>
      </c>
      <c r="V13" s="45">
        <f>S13*$G22/860</f>
        <v>45.302325581395351</v>
      </c>
      <c r="W13" s="45">
        <f>T13*$G22/860</f>
        <v>34</v>
      </c>
      <c r="X13" s="45">
        <f>U13*$G22/860</f>
        <v>28.11627906976744</v>
      </c>
    </row>
    <row r="14" spans="1:24" s="2" customFormat="1" ht="15.6" hidden="1" x14ac:dyDescent="0.3">
      <c r="A14" s="34"/>
      <c r="B14" s="37"/>
      <c r="F14" s="9"/>
      <c r="G14" s="9"/>
      <c r="I14" s="9"/>
      <c r="J14" s="9"/>
      <c r="M14" s="35"/>
      <c r="N14" s="47" t="s">
        <v>46</v>
      </c>
      <c r="O14" s="2">
        <f>IF(G10=N14,1,0)</f>
        <v>0</v>
      </c>
      <c r="P14" s="9" t="s">
        <v>12</v>
      </c>
      <c r="Q14" s="41">
        <v>2.2000000000000002</v>
      </c>
      <c r="R14" s="44">
        <v>5.8</v>
      </c>
      <c r="S14" s="65">
        <v>924</v>
      </c>
      <c r="T14" s="65">
        <v>801</v>
      </c>
      <c r="U14" s="65">
        <v>487</v>
      </c>
      <c r="V14" s="45">
        <f>S14*$G22/860</f>
        <v>21.488372093023255</v>
      </c>
      <c r="W14" s="45">
        <f>T14*$G22/860</f>
        <v>18.627906976744185</v>
      </c>
      <c r="X14" s="45">
        <f>U14*$G22/860</f>
        <v>11.325581395348838</v>
      </c>
    </row>
    <row r="15" spans="1:24" s="2" customFormat="1" ht="15.6" hidden="1" x14ac:dyDescent="0.3">
      <c r="A15" s="34"/>
      <c r="B15" s="37"/>
      <c r="F15" s="9"/>
      <c r="G15" s="9"/>
      <c r="I15" s="9"/>
      <c r="J15" s="9"/>
      <c r="M15" s="35"/>
      <c r="N15" s="47" t="s">
        <v>47</v>
      </c>
      <c r="O15" s="2">
        <f>IF(G10=N15,1,0)</f>
        <v>0</v>
      </c>
      <c r="P15" s="9" t="s">
        <v>12</v>
      </c>
      <c r="Q15" s="41">
        <v>3.3</v>
      </c>
      <c r="R15" s="44">
        <v>5.3</v>
      </c>
      <c r="S15" s="65">
        <v>1493</v>
      </c>
      <c r="T15" s="65">
        <v>1111</v>
      </c>
      <c r="U15" s="65">
        <v>901</v>
      </c>
      <c r="V15" s="45">
        <f>S15*$G22/860</f>
        <v>34.720930232558139</v>
      </c>
      <c r="W15" s="45">
        <f>T15*$G22/860</f>
        <v>25.837209302325583</v>
      </c>
      <c r="X15" s="45">
        <f>U15*$G22/860</f>
        <v>20.953488372093023</v>
      </c>
    </row>
    <row r="16" spans="1:24" s="2" customFormat="1" ht="15.6" hidden="1" x14ac:dyDescent="0.3">
      <c r="A16" s="34"/>
      <c r="B16" s="37"/>
      <c r="F16" s="9"/>
      <c r="G16" s="9"/>
      <c r="I16" s="9"/>
      <c r="J16" s="9"/>
      <c r="M16" s="35"/>
      <c r="N16" s="47" t="s">
        <v>48</v>
      </c>
      <c r="O16" s="2">
        <f>IF(G10=N16,1,0)</f>
        <v>0</v>
      </c>
      <c r="P16" s="9" t="s">
        <v>12</v>
      </c>
      <c r="Q16" s="41">
        <v>6</v>
      </c>
      <c r="R16" s="44">
        <v>4.0999999999999996</v>
      </c>
      <c r="S16" s="65">
        <v>2284</v>
      </c>
      <c r="T16" s="65">
        <v>1770</v>
      </c>
      <c r="U16" s="65">
        <v>1511</v>
      </c>
      <c r="V16" s="45">
        <f>S16*$G22/860</f>
        <v>53.116279069767444</v>
      </c>
      <c r="W16" s="45">
        <f>T16*$G22/860</f>
        <v>41.162790697674417</v>
      </c>
      <c r="X16" s="45">
        <f>U16*$G22/860</f>
        <v>35.139534883720927</v>
      </c>
    </row>
    <row r="17" spans="1:24" s="2" customFormat="1" ht="15.6" hidden="1" x14ac:dyDescent="0.3">
      <c r="A17" s="34"/>
      <c r="B17" s="37"/>
      <c r="F17" s="9"/>
      <c r="G17" s="9"/>
      <c r="I17" s="9"/>
      <c r="J17" s="9"/>
      <c r="M17" s="35"/>
      <c r="N17" s="47" t="s">
        <v>49</v>
      </c>
      <c r="O17" s="2">
        <f>IF(G10=N17,1,0)</f>
        <v>0</v>
      </c>
      <c r="P17" s="9" t="s">
        <v>12</v>
      </c>
      <c r="Q17" s="41">
        <v>6</v>
      </c>
      <c r="R17" s="44">
        <v>4.0999999999999996</v>
      </c>
      <c r="S17" s="65">
        <v>2284</v>
      </c>
      <c r="T17" s="65">
        <v>1770</v>
      </c>
      <c r="U17" s="65">
        <v>1511</v>
      </c>
      <c r="V17" s="45">
        <f>S17*$G22/860</f>
        <v>53.116279069767444</v>
      </c>
      <c r="W17" s="45">
        <f>T17*$G22/860</f>
        <v>41.162790697674417</v>
      </c>
      <c r="X17" s="45">
        <f>U17*$G22/860</f>
        <v>35.139534883720927</v>
      </c>
    </row>
    <row r="18" spans="1:24" s="2" customFormat="1" ht="15.6" hidden="1" x14ac:dyDescent="0.3">
      <c r="A18" s="34"/>
      <c r="B18" s="37"/>
      <c r="F18" s="9"/>
      <c r="G18" s="9"/>
      <c r="I18" s="9"/>
      <c r="J18" s="9"/>
      <c r="M18" s="35"/>
      <c r="N18" s="47" t="s">
        <v>51</v>
      </c>
      <c r="O18" s="2">
        <f>IF(G10=N18,1,0)</f>
        <v>0</v>
      </c>
      <c r="P18" s="9" t="s">
        <v>12</v>
      </c>
      <c r="Q18" s="41"/>
      <c r="R18" s="44"/>
      <c r="S18" s="44"/>
      <c r="T18" s="44"/>
      <c r="U18" s="44"/>
      <c r="V18" s="45">
        <f>S18*$G22/860</f>
        <v>0</v>
      </c>
      <c r="W18" s="45">
        <f t="shared" ref="W18:X18" si="0">T18*$G22/860</f>
        <v>0</v>
      </c>
      <c r="X18" s="45">
        <f t="shared" si="0"/>
        <v>0</v>
      </c>
    </row>
    <row r="19" spans="1:24" s="2" customFormat="1" ht="15.6" hidden="1" x14ac:dyDescent="0.3">
      <c r="A19" s="34"/>
      <c r="B19" s="37"/>
      <c r="F19" s="9"/>
      <c r="G19" s="9"/>
      <c r="I19" s="9"/>
      <c r="J19" s="9"/>
      <c r="M19" s="35"/>
      <c r="N19" s="47" t="s">
        <v>51</v>
      </c>
      <c r="O19" s="2">
        <f>IF(G10=N19,1,0)</f>
        <v>0</v>
      </c>
      <c r="P19" s="9" t="s">
        <v>12</v>
      </c>
      <c r="Q19" s="41"/>
      <c r="R19" s="44"/>
      <c r="S19" s="44"/>
      <c r="T19" s="44"/>
      <c r="U19" s="44"/>
      <c r="V19" s="45">
        <f>S19*$G22/860</f>
        <v>0</v>
      </c>
      <c r="W19" s="45">
        <f t="shared" ref="W19:X19" si="1">T19*$G22/860</f>
        <v>0</v>
      </c>
      <c r="X19" s="45">
        <f t="shared" si="1"/>
        <v>0</v>
      </c>
    </row>
    <row r="20" spans="1:24" ht="8.25" customHeight="1" x14ac:dyDescent="0.35">
      <c r="A20" s="7"/>
      <c r="F20" s="33"/>
      <c r="G20" s="33"/>
      <c r="H20" s="33"/>
      <c r="I20" s="33"/>
      <c r="J20" s="33"/>
      <c r="M20" s="10"/>
      <c r="N20" s="48"/>
    </row>
    <row r="21" spans="1:24" x14ac:dyDescent="0.3">
      <c r="A21" s="7"/>
      <c r="G21" s="1"/>
      <c r="H21" s="75"/>
      <c r="I21" s="75"/>
      <c r="J21" s="75"/>
      <c r="K21" s="75"/>
      <c r="L21" s="75"/>
      <c r="M21" s="10"/>
    </row>
    <row r="22" spans="1:24" x14ac:dyDescent="0.3">
      <c r="A22" s="7"/>
      <c r="B22" t="s">
        <v>71</v>
      </c>
      <c r="G22" s="60">
        <v>20</v>
      </c>
      <c r="H22" t="s">
        <v>1</v>
      </c>
      <c r="M22" s="10"/>
      <c r="N22" s="49"/>
    </row>
    <row r="23" spans="1:24" ht="15.6" x14ac:dyDescent="0.3">
      <c r="A23" s="7"/>
      <c r="B23" t="s">
        <v>72</v>
      </c>
      <c r="G23" s="60">
        <v>2150</v>
      </c>
      <c r="H23" s="22" t="s">
        <v>2</v>
      </c>
      <c r="I23" s="8"/>
      <c r="J23" s="8"/>
      <c r="K23" s="51"/>
      <c r="L23" s="25"/>
      <c r="M23" s="10"/>
      <c r="N23" s="49"/>
      <c r="P23" s="58"/>
      <c r="Q23" s="11"/>
      <c r="R23" s="11"/>
      <c r="S23" s="11"/>
      <c r="T23" s="11"/>
      <c r="U23" s="11"/>
      <c r="V23" s="11"/>
      <c r="W23" s="11"/>
      <c r="X23" s="11"/>
    </row>
    <row r="24" spans="1:24" x14ac:dyDescent="0.3">
      <c r="A24" s="7"/>
      <c r="L24" s="12"/>
      <c r="M24" s="10"/>
      <c r="N24" s="49"/>
    </row>
    <row r="25" spans="1:24" ht="15.6" x14ac:dyDescent="0.3">
      <c r="A25" s="7"/>
      <c r="B25" s="13" t="s">
        <v>83</v>
      </c>
      <c r="E25" s="30">
        <f>G23*G22/860</f>
        <v>50</v>
      </c>
      <c r="F25" s="21" t="s">
        <v>0</v>
      </c>
      <c r="H25" s="56" t="s">
        <v>73</v>
      </c>
      <c r="I25" s="54">
        <f>IF(AND(O10=1,O27=1),V10,IF(AND(O10=1,O28=1),W10,IF(AND(O10=1,O29=1),X10,IF(AND(O11=1,O27=1),V11,IF(AND(O11=1,O28=1),W11,IF(AND(O11=1,O29=1),X11,IF(AND(O12=1,O27=1),V12,IF(AND(O12=1,O28=1),W12,IF(AND(O12=1,O29=1),X12,IF(AND(O13=1,O27=1),V13,IF(AND(O13=1,O28=1),W13,IF(AND(O13=1,O29=1),X13,IF(AND(O14=1,O27=1),V14,IF(AND(O14=1,O28=1),W14,IF(AND(O14=1,O29=1),X14,IF(AND(O15=1,O27=1),V15,IF(AND(O15=1,O28=1),W15,IF(AND(O15=1,O29=1),X15,IF(AND(O16=1,O27=1),V16,IF(AND(O16=1,O28=1),W16,IF(AND(O16=1,O29=1),X16,IF(AND(O17=1,O27=1),V17,IF(AND(O17=1,O28=1),W17,IF(AND(O17=1,O29=1),X17,IF(AND(O18=1,O27=1),V18,IF(AND(O18=1,O28=1),W18,IF(AND(O18=1,O29=1),X18,IF(AND(O19=1,O27=1),V19,IF(AND(O19=1,O28=1),W19,IF(AND(O19=1,O29=1),X19,"Errore"))))))))))))))))))))))))))))))</f>
        <v>50.255813953488371</v>
      </c>
      <c r="J25" s="57" t="s">
        <v>15</v>
      </c>
      <c r="K25" s="30"/>
      <c r="L25" s="21"/>
      <c r="M25" s="10"/>
      <c r="N25" s="55">
        <f>E25/I25-1</f>
        <v>-5.0902360018509896E-3</v>
      </c>
      <c r="P25" s="28"/>
      <c r="Q25" s="24"/>
      <c r="S25" s="58" t="s">
        <v>10</v>
      </c>
      <c r="T25" s="58" t="s">
        <v>11</v>
      </c>
      <c r="U25" s="58"/>
    </row>
    <row r="26" spans="1:24" x14ac:dyDescent="0.3">
      <c r="A26" s="7"/>
      <c r="M26" s="10"/>
      <c r="P26" s="58" t="s">
        <v>8</v>
      </c>
      <c r="Q26" s="58" t="s">
        <v>7</v>
      </c>
      <c r="R26" s="58" t="s">
        <v>6</v>
      </c>
      <c r="S26" s="58" t="s">
        <v>9</v>
      </c>
      <c r="T26" s="58" t="s">
        <v>9</v>
      </c>
      <c r="U26" s="58"/>
      <c r="V26" s="58" t="s">
        <v>4</v>
      </c>
      <c r="W26" s="58" t="s">
        <v>5</v>
      </c>
      <c r="X26" s="58"/>
    </row>
    <row r="27" spans="1:24" x14ac:dyDescent="0.3">
      <c r="A27" s="7"/>
      <c r="B27" t="s">
        <v>74</v>
      </c>
      <c r="G27" s="76" t="s">
        <v>85</v>
      </c>
      <c r="H27" s="76"/>
      <c r="I27" s="76"/>
      <c r="J27" s="76"/>
      <c r="M27" s="10"/>
      <c r="N27" s="2" t="s">
        <v>84</v>
      </c>
      <c r="O27" s="2">
        <f>IF(N27=G27,1,0)</f>
        <v>0</v>
      </c>
      <c r="P27" s="9" t="str">
        <f>IF(O27=1,1,"")</f>
        <v/>
      </c>
      <c r="Q27" s="9" t="str">
        <f>IF(O27=1,IF(G23&gt;=R27,2,1),"")</f>
        <v/>
      </c>
      <c r="R27" s="53">
        <v>1400</v>
      </c>
      <c r="S27" s="53">
        <v>-2.2857099999999998E-3</v>
      </c>
      <c r="T27" s="53">
        <v>10.8</v>
      </c>
      <c r="V27" s="53">
        <v>7.6</v>
      </c>
      <c r="W27" s="9">
        <f>G23*S27+T27</f>
        <v>5.885723500000001</v>
      </c>
    </row>
    <row r="28" spans="1:24" s="2" customFormat="1" hidden="1" x14ac:dyDescent="0.3">
      <c r="A28" s="34"/>
      <c r="F28" s="9"/>
      <c r="G28" s="9"/>
      <c r="I28" s="9"/>
      <c r="J28" s="9"/>
      <c r="M28" s="35"/>
      <c r="N28" s="2" t="s">
        <v>52</v>
      </c>
      <c r="O28" s="2">
        <f>IF(N28=G27,1,0)</f>
        <v>0</v>
      </c>
      <c r="P28" s="9" t="str">
        <f>IF(O28=1,2,"")</f>
        <v/>
      </c>
      <c r="Q28" s="9" t="str">
        <f>IF(O28=1,IF(G23&gt;=R28,2,1),"")</f>
        <v/>
      </c>
      <c r="R28" s="53">
        <v>800</v>
      </c>
      <c r="S28" s="53">
        <v>-2.23077E-3</v>
      </c>
      <c r="T28" s="53">
        <v>8.9350000000000005</v>
      </c>
      <c r="U28" s="9"/>
      <c r="V28" s="53">
        <v>7.15</v>
      </c>
      <c r="W28" s="9">
        <f>G23*S28+T28</f>
        <v>4.1388445000000003</v>
      </c>
      <c r="X28" s="9"/>
    </row>
    <row r="29" spans="1:24" s="2" customFormat="1" hidden="1" x14ac:dyDescent="0.3">
      <c r="A29" s="34"/>
      <c r="F29" s="9"/>
      <c r="G29" s="9"/>
      <c r="I29" s="9"/>
      <c r="J29" s="9"/>
      <c r="M29" s="35"/>
      <c r="N29" s="2" t="s">
        <v>85</v>
      </c>
      <c r="O29" s="2">
        <f>IF(N29=G27,1,0)</f>
        <v>1</v>
      </c>
      <c r="P29" s="9">
        <f>IF(O29=1,3,"")</f>
        <v>3</v>
      </c>
      <c r="Q29" s="9">
        <f>IF(O29=1,IF(G23&gt;=R29,2,1),"")</f>
        <v>2</v>
      </c>
      <c r="R29" s="53">
        <v>800</v>
      </c>
      <c r="S29" s="53">
        <v>-2.1538400000000002E-3</v>
      </c>
      <c r="T29" s="53">
        <v>8</v>
      </c>
      <c r="U29" s="9"/>
      <c r="V29" s="53">
        <v>6.3</v>
      </c>
      <c r="W29" s="9">
        <f>G23*S29+T29</f>
        <v>3.3692439999999992</v>
      </c>
      <c r="X29" s="9"/>
    </row>
    <row r="30" spans="1:24" s="2" customFormat="1" ht="18" hidden="1" x14ac:dyDescent="0.35">
      <c r="A30" s="34"/>
      <c r="F30" s="36"/>
      <c r="G30" s="36"/>
      <c r="H30" s="36"/>
      <c r="I30" s="36"/>
      <c r="J30" s="36"/>
      <c r="M30" s="35"/>
      <c r="N30" s="48"/>
      <c r="O30" s="2">
        <f>SUM(O27:O29)</f>
        <v>1</v>
      </c>
      <c r="P30" s="9">
        <f>SUM(P27:P29)</f>
        <v>3</v>
      </c>
      <c r="Q30" s="9">
        <f>SUM(Q27:Q29)</f>
        <v>2</v>
      </c>
      <c r="R30" s="9"/>
      <c r="S30" s="9"/>
      <c r="T30" s="9"/>
      <c r="U30" s="9"/>
      <c r="V30" s="9"/>
      <c r="W30" s="9"/>
      <c r="X30" s="9"/>
    </row>
    <row r="31" spans="1:24" ht="8.25" customHeight="1" x14ac:dyDescent="0.3">
      <c r="A31" s="7"/>
      <c r="M31" s="10"/>
    </row>
    <row r="32" spans="1:24" x14ac:dyDescent="0.3">
      <c r="A32" s="7"/>
      <c r="H32" s="14" t="s">
        <v>75</v>
      </c>
      <c r="I32" s="26">
        <f>IF(O30=1,IF(AND(P30=1,Q30=1),V27,IF(AND(P30=1,Q30=2),W27,IF(AND(P30=2,Q30=1),V28,IF(AND(P30=2,Q30=2),W28,IF(AND(P30=3,Q30=1),V29,IF(AND(P30=3,Q30=2),W29,"Errore")))))),"- -")</f>
        <v>3.3692439999999992</v>
      </c>
      <c r="J32" t="s">
        <v>3</v>
      </c>
      <c r="M32" s="10"/>
    </row>
    <row r="33" spans="1:24" x14ac:dyDescent="0.3">
      <c r="A33" s="7"/>
      <c r="H33" s="14" t="s">
        <v>76</v>
      </c>
      <c r="I33" s="26">
        <f>IF(O30=1,IF(S33&lt;0.2,0.2,S33),"- -")</f>
        <v>0.73656648437499994</v>
      </c>
      <c r="J33" t="s">
        <v>3</v>
      </c>
      <c r="M33" s="10"/>
      <c r="P33" s="9" t="s">
        <v>12</v>
      </c>
      <c r="Q33" s="24">
        <f>IF(O10=1,Q10,IF(O11=1,Q11,IF(O12=1,Q12,IF(O13=1,Q13,IF(O14=1,Q14,IF(O15=1,Q15,IF(O16=1,Q16,IF(O17=1,Q17,IF(O17=1,Q17,IF(O18=1,Q18,IF(O19=1,Q19,"Errore!")))))))))))</f>
        <v>8</v>
      </c>
      <c r="R33" s="28" t="s">
        <v>13</v>
      </c>
      <c r="S33" s="9">
        <f>(G23/1000/Q33)^2*10.198</f>
        <v>0.73656648437499994</v>
      </c>
    </row>
    <row r="34" spans="1:24" ht="15.6" x14ac:dyDescent="0.3">
      <c r="A34" s="7"/>
      <c r="H34" s="15" t="s">
        <v>77</v>
      </c>
      <c r="I34" s="23">
        <f>IF(O30=1,I32-I33,"- -")</f>
        <v>2.6326775156249993</v>
      </c>
      <c r="J34" s="16" t="s">
        <v>3</v>
      </c>
      <c r="K34" s="46"/>
      <c r="M34" s="10"/>
      <c r="N34" s="32"/>
    </row>
    <row r="35" spans="1:24" ht="9" customHeight="1" x14ac:dyDescent="0.3">
      <c r="A35" s="7"/>
      <c r="H35" s="15"/>
      <c r="I35" s="23"/>
      <c r="J35" s="16"/>
      <c r="M35" s="10"/>
      <c r="N35" s="32"/>
    </row>
    <row r="36" spans="1:24" ht="15.6" x14ac:dyDescent="0.3">
      <c r="A36" s="7"/>
      <c r="B36" s="13" t="str">
        <f>IF(G22&lt;=12,"Rechnung für FBH:","Rechnung für FBH nicht verfügbar wenn Δt &gt; 12 K")</f>
        <v>Rechnung für FBH nicht verfügbar wenn Δt &gt; 12 K</v>
      </c>
      <c r="H36" s="15"/>
      <c r="I36" s="23"/>
      <c r="J36" s="16"/>
      <c r="M36" s="10"/>
      <c r="N36" s="32"/>
      <c r="S36" s="64" t="s">
        <v>50</v>
      </c>
    </row>
    <row r="37" spans="1:24" ht="9" customHeight="1" x14ac:dyDescent="0.3">
      <c r="A37" s="7"/>
      <c r="H37" s="15"/>
      <c r="I37" s="23"/>
      <c r="J37" s="16"/>
      <c r="M37" s="10"/>
      <c r="N37" s="32"/>
      <c r="S37" s="63"/>
    </row>
    <row r="38" spans="1:24" x14ac:dyDescent="0.3">
      <c r="A38" s="7"/>
      <c r="B38" t="s">
        <v>78</v>
      </c>
      <c r="F38" s="14"/>
      <c r="G38" s="61" t="s">
        <v>20</v>
      </c>
      <c r="I38" s="38" t="str">
        <f>IF(G22&gt;12,"","benutzen Δt=")</f>
        <v/>
      </c>
      <c r="J38" s="16" t="str">
        <f>IF(G22&gt;12,"",IF(G38=N38,P38,IF(G38=N39,P39,IF(G38=N40,P40,""))))</f>
        <v/>
      </c>
      <c r="M38" s="10"/>
      <c r="N38" s="24" t="s">
        <v>19</v>
      </c>
      <c r="O38" s="2">
        <f>IF(N38=G38,1,0)</f>
        <v>0</v>
      </c>
      <c r="P38" s="9" t="s">
        <v>16</v>
      </c>
      <c r="Q38" s="31">
        <f>T38*S38</f>
        <v>34.375</v>
      </c>
      <c r="R38" s="24" t="s">
        <v>14</v>
      </c>
      <c r="S38" s="63">
        <v>1.375</v>
      </c>
      <c r="T38" s="42">
        <v>25</v>
      </c>
      <c r="U38" s="27"/>
      <c r="V38" s="24" t="s">
        <v>14</v>
      </c>
    </row>
    <row r="39" spans="1:24" s="2" customFormat="1" ht="15.6" hidden="1" x14ac:dyDescent="0.3">
      <c r="A39" s="34"/>
      <c r="F39" s="27"/>
      <c r="G39" s="39"/>
      <c r="H39" s="40"/>
      <c r="I39" s="39"/>
      <c r="J39" s="32"/>
      <c r="M39" s="35"/>
      <c r="N39" s="24" t="s">
        <v>20</v>
      </c>
      <c r="O39" s="2">
        <f>IF(N39=G38,1,0)</f>
        <v>1</v>
      </c>
      <c r="P39" s="9" t="s">
        <v>17</v>
      </c>
      <c r="Q39" s="31">
        <f>T39*S39</f>
        <v>110</v>
      </c>
      <c r="R39" s="24" t="s">
        <v>14</v>
      </c>
      <c r="S39" s="63">
        <v>1.375</v>
      </c>
      <c r="T39" s="43">
        <v>80</v>
      </c>
      <c r="U39" s="31"/>
      <c r="V39" s="24" t="s">
        <v>14</v>
      </c>
      <c r="W39" s="9"/>
      <c r="X39" s="9"/>
    </row>
    <row r="40" spans="1:24" s="2" customFormat="1" ht="15.6" hidden="1" x14ac:dyDescent="0.3">
      <c r="A40" s="34"/>
      <c r="F40" s="27"/>
      <c r="G40" s="39"/>
      <c r="H40" s="40"/>
      <c r="I40" s="39"/>
      <c r="J40" s="32"/>
      <c r="M40" s="35"/>
      <c r="N40" s="24" t="s">
        <v>21</v>
      </c>
      <c r="O40" s="2">
        <f>IF(N40=G38,1,0)</f>
        <v>0</v>
      </c>
      <c r="P40" s="9" t="s">
        <v>18</v>
      </c>
      <c r="Q40" s="31">
        <f>T40*S40</f>
        <v>192.5</v>
      </c>
      <c r="R40" s="24" t="s">
        <v>14</v>
      </c>
      <c r="S40" s="63">
        <v>1.375</v>
      </c>
      <c r="T40" s="42">
        <v>140</v>
      </c>
      <c r="U40" s="27"/>
      <c r="V40" s="24" t="s">
        <v>14</v>
      </c>
      <c r="W40" s="9"/>
      <c r="X40" s="9"/>
    </row>
    <row r="41" spans="1:24" s="2" customFormat="1" ht="18" hidden="1" x14ac:dyDescent="0.35">
      <c r="A41" s="34"/>
      <c r="F41" s="36"/>
      <c r="G41" s="36"/>
      <c r="H41" s="36"/>
      <c r="I41" s="36"/>
      <c r="J41" s="36"/>
      <c r="M41" s="35"/>
      <c r="N41" s="48"/>
      <c r="O41" s="2">
        <f>SUM(O38:O40)</f>
        <v>1</v>
      </c>
      <c r="P41" s="9">
        <f>SUM(P38:P40)</f>
        <v>0</v>
      </c>
      <c r="Q41" s="27"/>
      <c r="R41" s="9"/>
      <c r="S41" s="9"/>
      <c r="T41" s="9"/>
      <c r="U41" s="9"/>
      <c r="V41" s="9"/>
      <c r="W41" s="9"/>
      <c r="X41" s="9"/>
    </row>
    <row r="42" spans="1:24" ht="9" customHeight="1" x14ac:dyDescent="0.3">
      <c r="A42" s="7"/>
      <c r="H42" s="15"/>
      <c r="I42" s="23"/>
      <c r="J42" s="16"/>
      <c r="M42" s="10"/>
      <c r="N42" s="32"/>
    </row>
    <row r="43" spans="1:24" ht="44.25" customHeight="1" x14ac:dyDescent="0.3">
      <c r="A43" s="7"/>
      <c r="B43" s="77" t="str">
        <f>IF(G22&gt;12,"","Maximale FBH-Oberfläche verwaltbar von jedem Modul, mit einer Temperaturdifferenz in einem angemessenen Verhältnis zu der Klasse der Wärmedämmung ausgewählt:")</f>
        <v/>
      </c>
      <c r="C43" s="77"/>
      <c r="D43" s="77"/>
      <c r="E43" s="77"/>
      <c r="F43" s="77"/>
      <c r="G43" s="77"/>
      <c r="H43" s="77"/>
      <c r="I43" s="52" t="str">
        <f>IF(G22&gt;12,"",IF(G22&lt;=12,IF(O38=1,E25*1000/Q38,IF(O39=1,E25*1000/Q39,IF(O40=1,E25*1000/Q40,"- -"))),"- - "))</f>
        <v/>
      </c>
      <c r="J43" s="29" t="str">
        <f>IF(G22&gt;12,"","m2")</f>
        <v/>
      </c>
      <c r="M43" s="10"/>
      <c r="N43" s="50"/>
      <c r="Q43" s="27"/>
    </row>
    <row r="44" spans="1:24" ht="10.5" customHeight="1" x14ac:dyDescent="0.3">
      <c r="A44" s="17"/>
      <c r="B44" s="18"/>
      <c r="C44" s="18"/>
      <c r="D44" s="18"/>
      <c r="E44" s="18"/>
      <c r="F44" s="19"/>
      <c r="G44" s="18"/>
      <c r="H44" s="18"/>
      <c r="I44" s="19"/>
      <c r="J44" s="19"/>
      <c r="K44" s="18"/>
      <c r="L44" s="18"/>
      <c r="M44" s="20"/>
    </row>
    <row r="45" spans="1:24" ht="11.25" customHeight="1" x14ac:dyDescent="0.3"/>
    <row r="46" spans="1:24" ht="10.5" customHeight="1" x14ac:dyDescent="0.3">
      <c r="A46" s="3"/>
      <c r="B46" s="4"/>
      <c r="C46" s="4"/>
      <c r="D46" s="4"/>
      <c r="E46" s="4"/>
      <c r="F46" s="5"/>
      <c r="G46" s="4"/>
      <c r="H46" s="4"/>
      <c r="I46" s="5"/>
      <c r="J46" s="5"/>
      <c r="K46" s="4"/>
      <c r="L46" s="4"/>
      <c r="M46" s="6"/>
    </row>
    <row r="47" spans="1:24" ht="18.75" customHeight="1" x14ac:dyDescent="0.3">
      <c r="A47" s="7"/>
      <c r="B47" s="62" t="s">
        <v>32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10"/>
      <c r="N47" s="32"/>
    </row>
    <row r="48" spans="1:24" ht="30" customHeight="1" x14ac:dyDescent="0.3">
      <c r="A48" s="7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10"/>
      <c r="N48" s="32"/>
    </row>
    <row r="49" spans="1:14" ht="30" customHeight="1" x14ac:dyDescent="0.3">
      <c r="A49" s="7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10"/>
      <c r="N49" s="32"/>
    </row>
    <row r="50" spans="1:14" ht="30" customHeight="1" x14ac:dyDescent="0.3">
      <c r="A50" s="7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10"/>
      <c r="N50" s="32"/>
    </row>
    <row r="51" spans="1:14" ht="10.5" customHeight="1" x14ac:dyDescent="0.3">
      <c r="A51" s="17"/>
      <c r="B51" s="18"/>
      <c r="C51" s="18"/>
      <c r="D51" s="18"/>
      <c r="E51" s="18"/>
      <c r="F51" s="19"/>
      <c r="G51" s="18"/>
      <c r="H51" s="18"/>
      <c r="I51" s="19"/>
      <c r="J51" s="19"/>
      <c r="K51" s="18"/>
      <c r="L51" s="18"/>
      <c r="M51" s="20"/>
    </row>
  </sheetData>
  <sheetProtection algorithmName="SHA-512" hashValue="fgnU7yq4nrbspo48COqgMJCSJJvAvNWs6AIg39FBJUvfwKl/tHc6Bv6lEdzVz2+Dw47QBsDSxt6H0XFAUUu6uw==" saltValue="T6PMNtkhFu4lNeRiNB5lTA==" spinCount="100000" sheet="1" objects="1" scenarios="1" selectLockedCells="1"/>
  <dataConsolidate/>
  <mergeCells count="21">
    <mergeCell ref="B1:L1"/>
    <mergeCell ref="B2:L2"/>
    <mergeCell ref="S5:U5"/>
    <mergeCell ref="V5:X5"/>
    <mergeCell ref="S6:U6"/>
    <mergeCell ref="V6:X6"/>
    <mergeCell ref="B48:L48"/>
    <mergeCell ref="B49:L49"/>
    <mergeCell ref="B50:L50"/>
    <mergeCell ref="X7:X8"/>
    <mergeCell ref="G10:J10"/>
    <mergeCell ref="H21:L21"/>
    <mergeCell ref="G27:J27"/>
    <mergeCell ref="B43:H43"/>
    <mergeCell ref="C47:L47"/>
    <mergeCell ref="R7:R8"/>
    <mergeCell ref="S7:S8"/>
    <mergeCell ref="T7:T8"/>
    <mergeCell ref="U7:U8"/>
    <mergeCell ref="V7:V8"/>
    <mergeCell ref="W7:W8"/>
  </mergeCells>
  <conditionalFormatting sqref="I34">
    <cfRule type="cellIs" dxfId="3" priority="4" operator="lessThan">
      <formula>0.5</formula>
    </cfRule>
  </conditionalFormatting>
  <conditionalFormatting sqref="K5">
    <cfRule type="cellIs" dxfId="2" priority="3" operator="greaterThan">
      <formula>50</formula>
    </cfRule>
  </conditionalFormatting>
  <conditionalFormatting sqref="E25:F25">
    <cfRule type="expression" dxfId="1" priority="1" stopIfTrue="1">
      <formula>$N$25&gt;=0.1</formula>
    </cfRule>
    <cfRule type="expression" dxfId="0" priority="2">
      <formula>$N$25&gt;0</formula>
    </cfRule>
  </conditionalFormatting>
  <dataValidations count="3">
    <dataValidation type="list" allowBlank="1" showInputMessage="1" showErrorMessage="1" sqref="G38" xr:uid="{00000000-0002-0000-0300-000000000000}">
      <formula1>$N$38:$N$40</formula1>
    </dataValidation>
    <dataValidation type="list" allowBlank="1" showInputMessage="1" showErrorMessage="1" promptTitle="Scegliere un circolatore" sqref="G27:J27" xr:uid="{00000000-0002-0000-0300-000001000000}">
      <formula1>$N$27:$N$29</formula1>
    </dataValidation>
    <dataValidation type="list" allowBlank="1" showErrorMessage="1" sqref="G10:J10" xr:uid="{00000000-0002-0000-0300-000002000000}">
      <formula1>$N$10:$N$17</formula1>
    </dataValidation>
  </dataValidations>
  <pageMargins left="0.35" right="0.25" top="0.55000000000000004" bottom="0.5699999999999999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IT</vt:lpstr>
      <vt:lpstr>EN</vt:lpstr>
      <vt:lpstr>FR</vt:lpstr>
      <vt:lpstr>DE</vt:lpstr>
      <vt:lpstr>DE!Area_stampa</vt:lpstr>
      <vt:lpstr>EN!Area_stampa</vt:lpstr>
      <vt:lpstr>FR!Area_stampa</vt:lpstr>
      <vt:lpstr>IT!Area_stampa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G3   840</cp:lastModifiedBy>
  <cp:lastPrinted>2016-01-22T15:23:49Z</cp:lastPrinted>
  <dcterms:created xsi:type="dcterms:W3CDTF">2015-06-15T15:19:17Z</dcterms:created>
  <dcterms:modified xsi:type="dcterms:W3CDTF">2019-04-06T09:04:26Z</dcterms:modified>
</cp:coreProperties>
</file>